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2"/>
  </bookViews>
  <sheets>
    <sheet name="Krycí list rozpočtu" sheetId="1" r:id="rId1"/>
    <sheet name="VORN" sheetId="2" r:id="rId2"/>
    <sheet name="Stavební rozpočet" sheetId="3" r:id="rId3"/>
    <sheet name="ZTI" sheetId="4" r:id="rId4"/>
  </sheets>
  <definedNames>
    <definedName name="_xlnm.Print_Area" localSheetId="3">'ZTI'!$A$1:$U$55</definedName>
    <definedName name="CisloRozpoctu">#REF!</definedName>
    <definedName name="cislostavby">#REF!</definedName>
    <definedName name="NazevRozpoctu">#REF!</definedName>
    <definedName name="nazevstavby">#REF!</definedName>
    <definedName name="PocetMJ">#REF!</definedName>
    <definedName name="SazbaDPH1">#REF!</definedName>
    <definedName name="SazbaDPH2">#REF!</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orn_sum">'VORN'!$I$36:$I$36</definedName>
  </definedNames>
  <calcPr fullCalcOnLoad="1"/>
</workbook>
</file>

<file path=xl/sharedStrings.xml><?xml version="1.0" encoding="utf-8"?>
<sst xmlns="http://schemas.openxmlformats.org/spreadsheetml/2006/main" count="949" uniqueCount="434">
  <si>
    <t>Krycí list rozpočtu</t>
  </si>
  <si>
    <t>Název stavby:</t>
  </si>
  <si>
    <t>Dětské hřiště u ZŠ Dukelská SO04</t>
  </si>
  <si>
    <t>Objednatel:</t>
  </si>
  <si>
    <t>Město Strakonice, Velké nám. 2, Strakonice</t>
  </si>
  <si>
    <t>IČ/DIČ:</t>
  </si>
  <si>
    <t>Druh stavby:</t>
  </si>
  <si>
    <t>rekonstrukce</t>
  </si>
  <si>
    <t>Projektant:</t>
  </si>
  <si>
    <t>Miloš Polanka AIS, Písecká 506 ST</t>
  </si>
  <si>
    <t>Lokalita:</t>
  </si>
  <si>
    <t>Strakonice</t>
  </si>
  <si>
    <t>Zhotovitel:</t>
  </si>
  <si>
    <t>Dle výběru investora</t>
  </si>
  <si>
    <t>Začátek výstavby:</t>
  </si>
  <si>
    <t xml:space="preserve"> </t>
  </si>
  <si>
    <t>Konec výstavby:</t>
  </si>
  <si>
    <t>Položek:</t>
  </si>
  <si>
    <t>45</t>
  </si>
  <si>
    <t>JKSO:</t>
  </si>
  <si>
    <t>Zpracoval:</t>
  </si>
  <si>
    <t>František Polan</t>
  </si>
  <si>
    <t>Datum:</t>
  </si>
  <si>
    <t>Rozpočtové náklady v Kč</t>
  </si>
  <si>
    <t>A</t>
  </si>
  <si>
    <t>Základní rozpočtové náklady</t>
  </si>
  <si>
    <t>B</t>
  </si>
  <si>
    <t>Doplňkové náklady</t>
  </si>
  <si>
    <t>C</t>
  </si>
  <si>
    <t>Náklady na umístění stavby (NUS)</t>
  </si>
  <si>
    <t>HSV</t>
  </si>
  <si>
    <t>Dodávky</t>
  </si>
  <si>
    <t>Práce přesčas</t>
  </si>
  <si>
    <t>Zařízení staveniště</t>
  </si>
  <si>
    <t>Montáž</t>
  </si>
  <si>
    <t>Bez pevné podl.</t>
  </si>
  <si>
    <t>Mimostav. doprava</t>
  </si>
  <si>
    <t>PSV</t>
  </si>
  <si>
    <t>Kulturní památka</t>
  </si>
  <si>
    <t>Územní vlivy</t>
  </si>
  <si>
    <t>Provozní vlivy</t>
  </si>
  <si>
    <t>"M"</t>
  </si>
  <si>
    <t>Ostatní</t>
  </si>
  <si>
    <t>NUS z rozpočtu</t>
  </si>
  <si>
    <t>Ostatní materiál</t>
  </si>
  <si>
    <t>Přesun hmot a sutí</t>
  </si>
  <si>
    <t>ZRN celkem</t>
  </si>
  <si>
    <t>DN celkem</t>
  </si>
  <si>
    <t>NUS celkem</t>
  </si>
  <si>
    <t>DN celkem z obj.</t>
  </si>
  <si>
    <t>NUS celkem z obj.</t>
  </si>
  <si>
    <t>ORN celkem</t>
  </si>
  <si>
    <t>ORN celkem z obj.</t>
  </si>
  <si>
    <t>Základ 0%</t>
  </si>
  <si>
    <t>Základ 15%</t>
  </si>
  <si>
    <t>DPH 15%</t>
  </si>
  <si>
    <t>Celkem bez DPH</t>
  </si>
  <si>
    <t>Základ 21%</t>
  </si>
  <si>
    <t>DPH 21%</t>
  </si>
  <si>
    <t>Celkem včetně DPH</t>
  </si>
  <si>
    <t>Projektant</t>
  </si>
  <si>
    <t>Objednatel</t>
  </si>
  <si>
    <t>Zhotovitel</t>
  </si>
  <si>
    <t>Datum, razítko a podpis</t>
  </si>
  <si>
    <t>Poznámka:</t>
  </si>
  <si>
    <t>1.Materiály uvedené ve specifikacích (dlažby, dveře a pod.) se řídí referenčními výrobky ze standardů, na základě předložených vzorků investor vybere konkrétní výrobek 
2.Při zpracování nabídky je nutné vycházet ze všech součástí PD (t.j. TZ, výkresová část, specifikace). Povinností dodavatele je překontrolovat výkaz výměr a případné rozdíly ve výkonech a dodávkách samostatně vyčíslit. 
3.Názvy materiálů označují minimální standard výrobku, nikoli závazné řešení. Dodavatel může použít jakýkoli materiál, který bude splňovat standard uvedený v rozpočtu nebo v projektové dokumentaci!
4.Dodavatel je povinen ocenit jednotlivé položky tak, aby k jejich splnění nepotřeboval další dodatky a vícepráce.</t>
  </si>
  <si>
    <t>Vedlejší a ostatní rozpočtové náklady</t>
  </si>
  <si>
    <t>Vedlejší rozpočtové náklady VRN</t>
  </si>
  <si>
    <t>Doplňkové náklady DN</t>
  </si>
  <si>
    <t>Kč</t>
  </si>
  <si>
    <t>%</t>
  </si>
  <si>
    <t>Základna</t>
  </si>
  <si>
    <t>Celkem DN</t>
  </si>
  <si>
    <t>Celkem NUS</t>
  </si>
  <si>
    <t>Celkem VRN</t>
  </si>
  <si>
    <t>Ostatní rozpočtové náklady ORN</t>
  </si>
  <si>
    <t>Ostatní rozpočtové náklady (ORN)</t>
  </si>
  <si>
    <t>3x vzorek zeminy</t>
  </si>
  <si>
    <t>Celkem ORN</t>
  </si>
  <si>
    <t>Stavební rozpočet</t>
  </si>
  <si>
    <t>Č</t>
  </si>
  <si>
    <t>Objekt</t>
  </si>
  <si>
    <t>Kód</t>
  </si>
  <si>
    <t>Zkrácený popis</t>
  </si>
  <si>
    <t>M.j.</t>
  </si>
  <si>
    <t>Množství</t>
  </si>
  <si>
    <t>Jednot.</t>
  </si>
  <si>
    <t>Náklady (Kč)</t>
  </si>
  <si>
    <t>Hmotnost (t)</t>
  </si>
  <si>
    <t>Cenová</t>
  </si>
  <si>
    <t>Rozměry</t>
  </si>
  <si>
    <t>cena (Kč)</t>
  </si>
  <si>
    <t>Dodávka</t>
  </si>
  <si>
    <t>Celkem</t>
  </si>
  <si>
    <t>soustava</t>
  </si>
  <si>
    <t>Přesuny</t>
  </si>
  <si>
    <t>Typ skupiny</t>
  </si>
  <si>
    <t>HSV mat</t>
  </si>
  <si>
    <t>HSV prac</t>
  </si>
  <si>
    <t>PSV mat</t>
  </si>
  <si>
    <t>PSV prac</t>
  </si>
  <si>
    <t>Mont mat</t>
  </si>
  <si>
    <t>Mont prac</t>
  </si>
  <si>
    <t>Ostatní mat.</t>
  </si>
  <si>
    <t>SO04</t>
  </si>
  <si>
    <t>Hřiště pro ŠD</t>
  </si>
  <si>
    <t>1</t>
  </si>
  <si>
    <t>Zemní práce</t>
  </si>
  <si>
    <t>HS</t>
  </si>
  <si>
    <t>122100010RAB</t>
  </si>
  <si>
    <t>Odkopávky nezapažené v hornině 1-4, naložení, odvoz 5 km, uložení</t>
  </si>
  <si>
    <t>m3</t>
  </si>
  <si>
    <t>RTS I / 2016</t>
  </si>
  <si>
    <t>3</t>
  </si>
  <si>
    <t>1_</t>
  </si>
  <si>
    <t>SO04_</t>
  </si>
  <si>
    <t>47</t>
  </si>
  <si>
    <t>2</t>
  </si>
  <si>
    <t>174101101R00</t>
  </si>
  <si>
    <t>Zásyp jam, rýh, šachet se zhutněním</t>
  </si>
  <si>
    <t>1   po vybour.obrubách.</t>
  </si>
  <si>
    <t>181101102R00</t>
  </si>
  <si>
    <t>Úprava pláně v zářezech v hor. 1-4, se zhutněním</t>
  </si>
  <si>
    <t>m2</t>
  </si>
  <si>
    <t>112,8</t>
  </si>
  <si>
    <t>11</t>
  </si>
  <si>
    <t>Přípravné a přidružené práce</t>
  </si>
  <si>
    <t>4</t>
  </si>
  <si>
    <t>113106121R00</t>
  </si>
  <si>
    <t>Rozebrání dlažeb z betonových dlaždic na sucho</t>
  </si>
  <si>
    <t>11_</t>
  </si>
  <si>
    <t>(17+12,25)*0,6   okapový chodník</t>
  </si>
  <si>
    <t>5</t>
  </si>
  <si>
    <t>979054442R00</t>
  </si>
  <si>
    <t>Očištění vybouraných dlaždic s výplní spár MC</t>
  </si>
  <si>
    <t>17,55</t>
  </si>
  <si>
    <t>6</t>
  </si>
  <si>
    <t>113202111R00</t>
  </si>
  <si>
    <t>Vytrhání obrub obrubníků silničních</t>
  </si>
  <si>
    <t>m</t>
  </si>
  <si>
    <t>29,7</t>
  </si>
  <si>
    <t>7</t>
  </si>
  <si>
    <t>113109306R00</t>
  </si>
  <si>
    <t>Odstranění podkladu pl. 50 m2, bet.prostý tl.6 cm</t>
  </si>
  <si>
    <t>8</t>
  </si>
  <si>
    <t>979082213R00</t>
  </si>
  <si>
    <t>Vodorovná doprava suti po suchu do 1 km</t>
  </si>
  <si>
    <t>t</t>
  </si>
  <si>
    <t>9</t>
  </si>
  <si>
    <t>979082219R00</t>
  </si>
  <si>
    <t>Příplatek za dopravu suti po suchu za další 1 km</t>
  </si>
  <si>
    <t>10</t>
  </si>
  <si>
    <t>979087113R00</t>
  </si>
  <si>
    <t>Nakládání vybouraných hmot na dopravní prostředky</t>
  </si>
  <si>
    <t>34</t>
  </si>
  <si>
    <t>Stěny a příčky</t>
  </si>
  <si>
    <t>340239212R00</t>
  </si>
  <si>
    <t>Zazdívka otvorů pl.4 m2,cihlami tl.zdi nad 10 cm</t>
  </si>
  <si>
    <t>34_</t>
  </si>
  <si>
    <t>3_</t>
  </si>
  <si>
    <t>2,1   zazdívka niky</t>
  </si>
  <si>
    <t>56</t>
  </si>
  <si>
    <t>Podkladní vrstvy komunikací a zpevněných ploch</t>
  </si>
  <si>
    <t>12</t>
  </si>
  <si>
    <t>564732111R00</t>
  </si>
  <si>
    <t>Podklad z kam.drceného 32-63 s výplň.kamen. 10 cm</t>
  </si>
  <si>
    <t>56_</t>
  </si>
  <si>
    <t>5_</t>
  </si>
  <si>
    <t>13</t>
  </si>
  <si>
    <t>564831111R00</t>
  </si>
  <si>
    <t>Podklad ze štěrkodrti po zhutnění tloušťky 10 cm</t>
  </si>
  <si>
    <t>14</t>
  </si>
  <si>
    <t>713191100RT9</t>
  </si>
  <si>
    <t>Položení separační fólie včetně dodávky fólie</t>
  </si>
  <si>
    <t>58</t>
  </si>
  <si>
    <t>Cementobetonové kryty pozemních komunikací a zpevněných ploch</t>
  </si>
  <si>
    <t>15</t>
  </si>
  <si>
    <t>631315621R00</t>
  </si>
  <si>
    <t>Mazanina betonová tl. 12 - 24 cm C 20/25</t>
  </si>
  <si>
    <t>58_</t>
  </si>
  <si>
    <t>101*0,14</t>
  </si>
  <si>
    <t>16</t>
  </si>
  <si>
    <t>631316211R00</t>
  </si>
  <si>
    <t>Povrchový vsyp na betonové podlahy strojně hlazený</t>
  </si>
  <si>
    <t>101</t>
  </si>
  <si>
    <t>17</t>
  </si>
  <si>
    <t>631319175R00</t>
  </si>
  <si>
    <t>Příplatek za stržení povrchu mazaniny tl. 24 cm</t>
  </si>
  <si>
    <t>14,14</t>
  </si>
  <si>
    <t>18</t>
  </si>
  <si>
    <t>631361921RT9</t>
  </si>
  <si>
    <t>Výztuž mazanin svařovaná síť - drát 8,0 mm, oka 150/150 mm</t>
  </si>
  <si>
    <t>101*0,00554</t>
  </si>
  <si>
    <t>19</t>
  </si>
  <si>
    <t>634601112</t>
  </si>
  <si>
    <t>Zaplnění dilatačních spár mazanin, šířka 10 mm trvale pružným tmelem</t>
  </si>
  <si>
    <t>(9,97+10,09)*3</t>
  </si>
  <si>
    <t>20</t>
  </si>
  <si>
    <t>589153010</t>
  </si>
  <si>
    <t>Kryt sportovních ploch z pryž.granulátu EPDM tl.10 mm litého</t>
  </si>
  <si>
    <t>21</t>
  </si>
  <si>
    <t>721242810</t>
  </si>
  <si>
    <t>Dmtž+mtž lapače splavenin vč. zemních prací, gajgru a kanalizace, úprava ležaté kanalizace, úprava svodové roury</t>
  </si>
  <si>
    <t>kpl</t>
  </si>
  <si>
    <t>59</t>
  </si>
  <si>
    <t>Dlažby a předlažby pozemních komunikací a zpevněných ploch</t>
  </si>
  <si>
    <t>22</t>
  </si>
  <si>
    <t>596811111R00</t>
  </si>
  <si>
    <t>Kladení dlaždic kom.pro pěší, lože z kameniva těž.</t>
  </si>
  <si>
    <t>59_</t>
  </si>
  <si>
    <t>1,55*0,6   okapový chodník</t>
  </si>
  <si>
    <t>zpětné použití vybouraných desek</t>
  </si>
  <si>
    <t>23</t>
  </si>
  <si>
    <t>599441111R00</t>
  </si>
  <si>
    <t>Vyplnění spár mezi panely kamenivem těženým</t>
  </si>
  <si>
    <t>10,64+9,97+11,65+2,43</t>
  </si>
  <si>
    <t>62</t>
  </si>
  <si>
    <t>Úprava povrchů vnější</t>
  </si>
  <si>
    <t>24</t>
  </si>
  <si>
    <t>622421111R00</t>
  </si>
  <si>
    <t>Omítka vnější stěn, MVC, hrubá nezatřená</t>
  </si>
  <si>
    <t>62_</t>
  </si>
  <si>
    <t>6_</t>
  </si>
  <si>
    <t>;cca;2</t>
  </si>
  <si>
    <t>25</t>
  </si>
  <si>
    <t>622472122R00</t>
  </si>
  <si>
    <t>Omítka stěn vnější z SMS minerální slož. II. ručně</t>
  </si>
  <si>
    <t>2,1</t>
  </si>
  <si>
    <t>26</t>
  </si>
  <si>
    <t>622903111R00</t>
  </si>
  <si>
    <t>Očištění zdí a valů před opravou, ručně</t>
  </si>
  <si>
    <t>762</t>
  </si>
  <si>
    <t>Konstrukce tesařské</t>
  </si>
  <si>
    <t>PS</t>
  </si>
  <si>
    <t>27</t>
  </si>
  <si>
    <t>762332110R00</t>
  </si>
  <si>
    <t>Montáž vázaných krovů pravidelných do 120 cm2</t>
  </si>
  <si>
    <t>762_</t>
  </si>
  <si>
    <t>76_</t>
  </si>
  <si>
    <t>0,65*2</t>
  </si>
  <si>
    <t>28</t>
  </si>
  <si>
    <t>60510055</t>
  </si>
  <si>
    <t>Lať profil dřevěný 60/40 mm l = 3 m a výše</t>
  </si>
  <si>
    <t>0</t>
  </si>
  <si>
    <t>;ztratné 10%; 0,13</t>
  </si>
  <si>
    <t>29</t>
  </si>
  <si>
    <t>762341220R00</t>
  </si>
  <si>
    <t>M. bedn.střech rovn. z aglomer.desek šroubováním</t>
  </si>
  <si>
    <t>0,65*0,6</t>
  </si>
  <si>
    <t>30</t>
  </si>
  <si>
    <t>60725017</t>
  </si>
  <si>
    <t>Deska dřevoštěpková OSB 3 N tl. 25 mm</t>
  </si>
  <si>
    <t>0,39</t>
  </si>
  <si>
    <t>;ztratné 8%; 0,0312</t>
  </si>
  <si>
    <t>31</t>
  </si>
  <si>
    <t>953981103R00</t>
  </si>
  <si>
    <t>Chemické kotvy do betonu, hl. 110 mm, M 12, ampule</t>
  </si>
  <si>
    <t>kus</t>
  </si>
  <si>
    <t>764</t>
  </si>
  <si>
    <t>Konstrukce klempířské</t>
  </si>
  <si>
    <t>32</t>
  </si>
  <si>
    <t>764211010RAA</t>
  </si>
  <si>
    <t>Krytina střech z TiZn plechu sklon do 30°</t>
  </si>
  <si>
    <t>764_</t>
  </si>
  <si>
    <t>0,6*0,65</t>
  </si>
  <si>
    <t>33</t>
  </si>
  <si>
    <t>765313187R00</t>
  </si>
  <si>
    <t>Mřížka ochranná větrací 100 x 6 cm jednoduchá</t>
  </si>
  <si>
    <t>0,6</t>
  </si>
  <si>
    <t>87</t>
  </si>
  <si>
    <t>Potrubí z trub plastických, skleněných a čedičových</t>
  </si>
  <si>
    <t>879990091</t>
  </si>
  <si>
    <t>Venkovní kanalizace specifikace viz samostatná část</t>
  </si>
  <si>
    <t>87_</t>
  </si>
  <si>
    <t>8_</t>
  </si>
  <si>
    <t>91</t>
  </si>
  <si>
    <t>Doplňující konstrukce a práce na pozemních komunikacích a zpevněných plochách</t>
  </si>
  <si>
    <t>35</t>
  </si>
  <si>
    <t>916561111RT7</t>
  </si>
  <si>
    <t>Osazení záhon.obrubníků do lože z C 12/15 s opěrou včetně obrubníku   100/5/20 cm</t>
  </si>
  <si>
    <t>91_</t>
  </si>
  <si>
    <t>9_</t>
  </si>
  <si>
    <t>10+1,07+1,37</t>
  </si>
  <si>
    <t>36</t>
  </si>
  <si>
    <t>917762111RT8</t>
  </si>
  <si>
    <t>Osazení ležat. obrub. bet. s opěrou, lože z B 12,5 včetně obrubníku ABO 1 - 15 100/15/30</t>
  </si>
  <si>
    <t>93</t>
  </si>
  <si>
    <t>Různé dokončovací konstrukce a práce inženýrských staveb</t>
  </si>
  <si>
    <t>37</t>
  </si>
  <si>
    <t>936172113R00</t>
  </si>
  <si>
    <t>Osazení doplňkových ocel. konstrukcí do 100 kg</t>
  </si>
  <si>
    <t>93_</t>
  </si>
  <si>
    <t>38</t>
  </si>
  <si>
    <t>55750009</t>
  </si>
  <si>
    <t>Nástěnný basketbalový koš  specifikace dle výkresu prvek HP7</t>
  </si>
  <si>
    <t>soubor</t>
  </si>
  <si>
    <t>39</t>
  </si>
  <si>
    <t>55760230</t>
  </si>
  <si>
    <t>Branka na házenou 2x3 m (AL), pouze samostatný rám bez držáků sítí specifikace dle výkresu prvek HP8</t>
  </si>
  <si>
    <t>40</t>
  </si>
  <si>
    <t>936172111R00</t>
  </si>
  <si>
    <t>Osazení doplňkových ocel. konstrukcí do 20 kg</t>
  </si>
  <si>
    <t>41</t>
  </si>
  <si>
    <t>55790001</t>
  </si>
  <si>
    <t>Koš na odpadky kovový specifikace dle výkresu prvek M3</t>
  </si>
  <si>
    <t>42</t>
  </si>
  <si>
    <t>931971112R00</t>
  </si>
  <si>
    <t>Vložky do dilatačních spár, lepenka dvojitá</t>
  </si>
  <si>
    <t>(10,64+9,97+11,65+2,43)*0,15</t>
  </si>
  <si>
    <t>vyplnění nopovou folií</t>
  </si>
  <si>
    <t>95</t>
  </si>
  <si>
    <t>Různé dokončovací konstrukce a práce na pozemních stavbách</t>
  </si>
  <si>
    <t>43</t>
  </si>
  <si>
    <t>953991121R00</t>
  </si>
  <si>
    <t>Osazení hmoždinek ve stěnách z cihel DN 10 - 12 mm</t>
  </si>
  <si>
    <t>95_</t>
  </si>
  <si>
    <t>pro montáž tabule</t>
  </si>
  <si>
    <t>44</t>
  </si>
  <si>
    <t>61198901</t>
  </si>
  <si>
    <t>Informační tabule specifikace dle výkresu M2</t>
  </si>
  <si>
    <t>998224111R00</t>
  </si>
  <si>
    <t>Přesun hmot, pozemní komunikace, kryt betonový</t>
  </si>
  <si>
    <t>Celkem:</t>
  </si>
  <si>
    <t xml:space="preserve">Položkový rozpočet </t>
  </si>
  <si>
    <t>#TypZaznamu#</t>
  </si>
  <si>
    <t>S:</t>
  </si>
  <si>
    <t>DĚTSKÉ  HŘIŠTĚ ZŠ DUKELSKÁ - ZI - SO 04</t>
  </si>
  <si>
    <t>STA</t>
  </si>
  <si>
    <t>O:</t>
  </si>
  <si>
    <t>OBJ</t>
  </si>
  <si>
    <t>R:</t>
  </si>
  <si>
    <t>ROZ</t>
  </si>
  <si>
    <t>C:</t>
  </si>
  <si>
    <t>CAS_STR</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</si>
  <si>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</si>
  <si>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</si>
  <si>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</si>
  <si>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</si>
  <si>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</si>
  <si>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</si>
  <si>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</si>
  <si>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</si>
  <si>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</si>
  <si>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</si>
  <si>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</si>
  <si>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</si>
  <si>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</si>
  <si>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</si>
  <si>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</si>
  <si>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t>
  </si>
  <si>
    <t>Nhod / MJ</t>
  </si>
  <si>
    <t>Nhod celk.</t>
  </si>
  <si>
    <t>Díl:</t>
  </si>
  <si>
    <t>DIL</t>
  </si>
  <si>
    <t>132201110R00</t>
  </si>
  <si>
    <t>Hloubení rýh š.do 60 cm v hor.3 do 50 m3, STROJNĚ</t>
  </si>
  <si>
    <t>POL1_0</t>
  </si>
  <si>
    <t>Kanalizace: :  (8,0+1,0)*0,6*0,9</t>
  </si>
  <si>
    <t>VV</t>
  </si>
  <si>
    <t>130001101R00</t>
  </si>
  <si>
    <t>Příplatek za ztížené hloubení v blízkosti vedení</t>
  </si>
  <si>
    <t>4,86*0,5</t>
  </si>
  <si>
    <t>162201102R00</t>
  </si>
  <si>
    <t>Vodorovné přemístění výkopku z hor.1-4 do 50 m</t>
  </si>
  <si>
    <t>Kanalizace: :  (8,0+1,0)*0,6*0,55</t>
  </si>
  <si>
    <t>171201101R00</t>
  </si>
  <si>
    <t>Uložení sypaniny do násypů nezhutněných</t>
  </si>
  <si>
    <t>167101101R00</t>
  </si>
  <si>
    <t>Nakládání výkopku z hor.1-4 v množství do 100 m3</t>
  </si>
  <si>
    <t>(8,0+1,0)*0,6*0,35</t>
  </si>
  <si>
    <t>175100020RA0</t>
  </si>
  <si>
    <t>Obsyp potrubí štěrkopískem</t>
  </si>
  <si>
    <t>POL2_0</t>
  </si>
  <si>
    <t>8,0*(0,6*0,45-(0,16*0,16*3,14/4))</t>
  </si>
  <si>
    <t>1,0*(0,6*0,45*(0,20*0,20*3,14/4))</t>
  </si>
  <si>
    <t>Vodorovné konstrukce</t>
  </si>
  <si>
    <t>451572111R00</t>
  </si>
  <si>
    <t>Lože pod potrubí z kameniva těženého 0 - 4 mm</t>
  </si>
  <si>
    <t>(8,0+1,0)*0,6*0,1</t>
  </si>
  <si>
    <t>Komunikace</t>
  </si>
  <si>
    <t>597101112RT1</t>
  </si>
  <si>
    <t>Montáž odvodňovacího žlabu - polymerbeton, včetně betonového lože C 12/15, zatížení B 125 kN</t>
  </si>
  <si>
    <t>597092212RS2</t>
  </si>
  <si>
    <t>Žlab odvodňovací V 150 S,dl. 500 mm,A 15,B 125, šířka 185 mm, stavební výška 220-220 mm</t>
  </si>
  <si>
    <t>597092231R00</t>
  </si>
  <si>
    <t>Čelo kombinované plné, žlab V 150 S</t>
  </si>
  <si>
    <t>899202111R00</t>
  </si>
  <si>
    <t>Osazení mříží litinových s rámem do 100 kg</t>
  </si>
  <si>
    <t>S</t>
  </si>
  <si>
    <t>Vtoková mříž litinová prohnutá 500*300 C 250</t>
  </si>
  <si>
    <t>POL3_0</t>
  </si>
  <si>
    <t>Trubní vedení</t>
  </si>
  <si>
    <t>871313121R00</t>
  </si>
  <si>
    <t>Montáž trub z tvrdého PVC, gumový kroužek, DN 150</t>
  </si>
  <si>
    <t>871353121R00</t>
  </si>
  <si>
    <t>Montáž trub z plastu, gumový kroužek, DN 200</t>
  </si>
  <si>
    <t>28611152.AR</t>
  </si>
  <si>
    <t>Trubka kanalizační KGEM SN 4 PVC 160x4,0x2000</t>
  </si>
  <si>
    <t>(8,0/2,0)*1,02</t>
  </si>
  <si>
    <t>28611263.AR</t>
  </si>
  <si>
    <t>Trubka kanalizační KGEM SN 8 PVC 200x5,9x1000</t>
  </si>
  <si>
    <t>877313123R00</t>
  </si>
  <si>
    <t>Montáž tvarovek jednoos. plast. gum.kroužek DN 150</t>
  </si>
  <si>
    <t>28651662.AR</t>
  </si>
  <si>
    <t>Koleno kanalizační KGB 160/ 45° PVC</t>
  </si>
  <si>
    <t>877353121R00</t>
  </si>
  <si>
    <t>Montáž tvarovek odboč. plast. gum. kroužek DN 200</t>
  </si>
  <si>
    <t>28651705.AR</t>
  </si>
  <si>
    <t>Odbočka kanalizační KGEA 160/ 160/45° PVC</t>
  </si>
  <si>
    <t>28651708.AR</t>
  </si>
  <si>
    <t>Odbočka kanalizační KGEA 200/ 160/45° PVC</t>
  </si>
  <si>
    <t>877353123R00</t>
  </si>
  <si>
    <t>Montáž tvarovek jednoos. plast. gum.kroužek DN 200</t>
  </si>
  <si>
    <t>28651859.AR</t>
  </si>
  <si>
    <t>Přechod kamenina-PVC kanalizační KGUS 200 PVC</t>
  </si>
  <si>
    <t>28651813.AR</t>
  </si>
  <si>
    <t>Přesuvka kanalizační KGU 200 PVC</t>
  </si>
  <si>
    <t>892571111R00</t>
  </si>
  <si>
    <t>Zkouška těsnosti kanalizace DN do 200, vodou</t>
  </si>
  <si>
    <t>8,0+1,0</t>
  </si>
  <si>
    <t>837355121RAA</t>
  </si>
  <si>
    <t>Výsek kamenin. potrubí DN 200</t>
  </si>
  <si>
    <t>899711122R00</t>
  </si>
  <si>
    <t>Fólie výstražná z PVC, šířka 30 cm</t>
  </si>
  <si>
    <t>721242110R00</t>
  </si>
  <si>
    <t>Lapač střešních splavenin PP D 110 mm, kloub</t>
  </si>
  <si>
    <t>99</t>
  </si>
  <si>
    <t>Staveništní přesun hmot</t>
  </si>
  <si>
    <t>998222011R00</t>
  </si>
  <si>
    <t>Přesun hmot, pozemní komunikace, kryt z kameniva</t>
  </si>
  <si>
    <t>998276101R00</t>
  </si>
  <si>
    <t>Přesun hmot, trubní vedení plastová, otevř. výkop</t>
  </si>
  <si>
    <t>CELKEM</t>
  </si>
  <si>
    <t>END</t>
  </si>
</sst>
</file>

<file path=xl/styles.xml><?xml version="1.0" encoding="utf-8"?>
<styleSheet xmlns="http://schemas.openxmlformats.org/spreadsheetml/2006/main">
  <numFmts count="6">
    <numFmt numFmtId="164" formatCode="GENERAL"/>
    <numFmt numFmtId="165" formatCode="@"/>
    <numFmt numFmtId="166" formatCode="D/M/YYYY"/>
    <numFmt numFmtId="167" formatCode="#,##0.00"/>
    <numFmt numFmtId="168" formatCode="#,##0.000"/>
    <numFmt numFmtId="169" formatCode="#,##0.00000"/>
  </numFmts>
  <fonts count="37">
    <font>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8"/>
      <name val="Calibri"/>
      <family val="2"/>
    </font>
    <font>
      <b/>
      <sz val="13"/>
      <color indexed="8"/>
      <name val="Calibri"/>
      <family val="2"/>
    </font>
    <font>
      <b/>
      <sz val="18"/>
      <color indexed="8"/>
      <name val="Cambria"/>
      <family val="2"/>
    </font>
    <font>
      <sz val="11"/>
      <color indexed="17"/>
      <name val="Calibri"/>
      <family val="2"/>
    </font>
    <font>
      <sz val="10"/>
      <name val="Arial CE"/>
      <family val="2"/>
    </font>
    <font>
      <sz val="11"/>
      <color indexed="52"/>
      <name val="Calibri"/>
      <family val="2"/>
    </font>
    <font>
      <sz val="11"/>
      <color indexed="10"/>
      <name val="Calibri"/>
      <family val="2"/>
    </font>
    <font>
      <sz val="11"/>
      <color indexed="12"/>
      <name val="Calibri"/>
      <family val="2"/>
    </font>
    <font>
      <b/>
      <sz val="11"/>
      <color indexed="52"/>
      <name val="Calibri"/>
      <family val="2"/>
    </font>
    <font>
      <b/>
      <sz val="11"/>
      <color indexed="10"/>
      <name val="Calibri"/>
      <family val="2"/>
    </font>
    <font>
      <i/>
      <sz val="11"/>
      <color indexed="23"/>
      <name val="Calibri"/>
      <family val="2"/>
    </font>
    <font>
      <sz val="10"/>
      <color indexed="8"/>
      <name val="Arial"/>
      <family val="2"/>
    </font>
    <font>
      <sz val="24"/>
      <color indexed="8"/>
      <name val="Arial"/>
      <family val="2"/>
    </font>
    <font>
      <b/>
      <sz val="10"/>
      <color indexed="8"/>
      <name val="Arial"/>
      <family val="2"/>
    </font>
    <font>
      <b/>
      <sz val="18"/>
      <color indexed="8"/>
      <name val="Arial"/>
      <family val="2"/>
    </font>
    <font>
      <b/>
      <sz val="20"/>
      <color indexed="8"/>
      <name val="Arial"/>
      <family val="2"/>
    </font>
    <font>
      <b/>
      <sz val="11"/>
      <color indexed="8"/>
      <name val="Arial"/>
      <family val="2"/>
    </font>
    <font>
      <b/>
      <sz val="12"/>
      <color indexed="8"/>
      <name val="Arial"/>
      <family val="2"/>
    </font>
    <font>
      <sz val="12"/>
      <color indexed="8"/>
      <name val="Arial"/>
      <family val="2"/>
    </font>
    <font>
      <i/>
      <sz val="8"/>
      <color indexed="8"/>
      <name val="Arial"/>
      <family val="2"/>
    </font>
    <font>
      <sz val="8"/>
      <color indexed="8"/>
      <name val="Arial"/>
      <family val="2"/>
    </font>
    <font>
      <b/>
      <sz val="22"/>
      <color indexed="8"/>
      <name val="Desyrel"/>
      <family val="0"/>
    </font>
    <font>
      <b/>
      <sz val="8"/>
      <color indexed="8"/>
      <name val="Arial"/>
      <family val="2"/>
    </font>
    <font>
      <i/>
      <sz val="8"/>
      <color indexed="10"/>
      <name val="Arial"/>
      <family val="2"/>
    </font>
    <font>
      <i/>
      <sz val="8"/>
      <color indexed="17"/>
      <name val="Arial"/>
      <family val="2"/>
    </font>
    <font>
      <sz val="8"/>
      <color indexed="12"/>
      <name val="Arial"/>
      <family val="2"/>
    </font>
    <font>
      <sz val="10"/>
      <color indexed="12"/>
      <name val="Arial"/>
      <family val="2"/>
    </font>
    <font>
      <b/>
      <sz val="12"/>
      <name val="Arial CE"/>
      <family val="2"/>
    </font>
    <font>
      <sz val="8"/>
      <name val="Arial CE"/>
      <family val="2"/>
    </font>
    <font>
      <sz val="8"/>
      <color indexed="12"/>
      <name val="Arial CE"/>
      <family val="2"/>
    </font>
    <font>
      <b/>
      <sz val="11"/>
      <name val="Arial CE"/>
      <family val="2"/>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
      <patternFill patternType="solid">
        <fgColor indexed="53"/>
        <bgColor indexed="64"/>
      </patternFill>
    </fill>
  </fills>
  <borders count="47">
    <border>
      <left/>
      <right/>
      <top/>
      <bottom/>
      <diagonal/>
    </border>
    <border>
      <left>
        <color indexed="63"/>
      </left>
      <right>
        <color indexed="63"/>
      </right>
      <top style="thin">
        <color indexed="12"/>
      </top>
      <bottom style="double">
        <color indexed="12"/>
      </bottom>
    </border>
    <border>
      <left style="double">
        <color indexed="10"/>
      </left>
      <right style="double">
        <color indexed="10"/>
      </right>
      <top style="double">
        <color indexed="10"/>
      </top>
      <bottom style="double">
        <color indexed="10"/>
      </bottom>
    </border>
    <border>
      <left>
        <color indexed="63"/>
      </left>
      <right>
        <color indexed="63"/>
      </right>
      <top>
        <color indexed="63"/>
      </top>
      <bottom style="thick">
        <color indexed="1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10"/>
      </left>
      <right style="thin">
        <color indexed="10"/>
      </right>
      <top style="thin">
        <color indexed="10"/>
      </top>
      <bottom style="thin">
        <color indexed="10"/>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color indexed="63"/>
      </left>
      <right style="thin">
        <color indexed="8"/>
      </right>
      <top style="medium">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color indexed="63"/>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s>
  <cellStyleXfs count="6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0" borderId="1" applyNumberFormat="0" applyFill="0" applyAlignment="0" applyProtection="0"/>
    <xf numFmtId="164" fontId="4" fillId="3" borderId="0" applyNumberFormat="0" applyBorder="0" applyAlignment="0" applyProtection="0"/>
    <xf numFmtId="164" fontId="5" fillId="16" borderId="2" applyNumberFormat="0" applyAlignment="0" applyProtection="0"/>
    <xf numFmtId="164" fontId="6" fillId="0" borderId="3" applyNumberFormat="0" applyFill="0" applyAlignment="0" applyProtection="0"/>
    <xf numFmtId="164" fontId="7" fillId="0" borderId="4" applyNumberFormat="0" applyFill="0" applyAlignment="0" applyProtection="0"/>
    <xf numFmtId="164" fontId="3" fillId="0" borderId="5" applyNumberFormat="0" applyFill="0" applyAlignment="0" applyProtection="0"/>
    <xf numFmtId="164" fontId="3" fillId="0" borderId="0" applyNumberFormat="0" applyFill="0" applyBorder="0" applyAlignment="0" applyProtection="0"/>
    <xf numFmtId="164" fontId="8" fillId="0" borderId="0" applyNumberFormat="0" applyFill="0" applyBorder="0" applyAlignment="0" applyProtection="0"/>
    <xf numFmtId="164" fontId="9" fillId="17" borderId="0" applyNumberFormat="0" applyBorder="0" applyAlignment="0" applyProtection="0"/>
    <xf numFmtId="164" fontId="10" fillId="0" borderId="0">
      <alignment/>
      <protection/>
    </xf>
    <xf numFmtId="164" fontId="10" fillId="0" borderId="0">
      <alignment/>
      <protection/>
    </xf>
    <xf numFmtId="164" fontId="0" fillId="18" borderId="6" applyNumberFormat="0" applyAlignment="0" applyProtection="0"/>
    <xf numFmtId="164" fontId="11" fillId="0" borderId="7" applyNumberFormat="0" applyFill="0" applyAlignment="0" applyProtection="0"/>
    <xf numFmtId="164" fontId="9" fillId="4" borderId="0" applyNumberFormat="0" applyBorder="0" applyAlignment="0" applyProtection="0"/>
    <xf numFmtId="164" fontId="12" fillId="0" borderId="0" applyNumberFormat="0" applyFill="0" applyBorder="0" applyAlignment="0" applyProtection="0"/>
    <xf numFmtId="164" fontId="13" fillId="7" borderId="8" applyNumberFormat="0" applyAlignment="0" applyProtection="0"/>
    <xf numFmtId="164" fontId="14" fillId="19" borderId="8" applyNumberFormat="0" applyAlignment="0" applyProtection="0"/>
    <xf numFmtId="164" fontId="15" fillId="19" borderId="9" applyNumberFormat="0" applyAlignment="0" applyProtection="0"/>
    <xf numFmtId="164" fontId="16" fillId="0" borderId="0" applyNumberFormat="0" applyFill="0" applyBorder="0" applyAlignment="0" applyProtection="0"/>
    <xf numFmtId="164" fontId="2" fillId="20" borderId="0" applyNumberFormat="0" applyBorder="0" applyAlignment="0" applyProtection="0"/>
    <xf numFmtId="164" fontId="2" fillId="21" borderId="0" applyNumberFormat="0" applyBorder="0" applyAlignment="0" applyProtection="0"/>
    <xf numFmtId="164" fontId="2" fillId="19"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2" borderId="0" applyNumberFormat="0" applyBorder="0" applyAlignment="0" applyProtection="0"/>
  </cellStyleXfs>
  <cellXfs count="175">
    <xf numFmtId="164" fontId="0" fillId="0" borderId="0" xfId="0" applyAlignment="1">
      <alignment/>
    </xf>
    <xf numFmtId="164" fontId="17" fillId="0" borderId="0" xfId="0" applyFont="1" applyAlignment="1">
      <alignment vertical="center"/>
    </xf>
    <xf numFmtId="164" fontId="18" fillId="0" borderId="10" xfId="0" applyNumberFormat="1" applyFont="1" applyFill="1" applyBorder="1" applyAlignment="1" applyProtection="1">
      <alignment horizontal="center" vertical="center" wrapText="1"/>
      <protection/>
    </xf>
    <xf numFmtId="164" fontId="17" fillId="0" borderId="11" xfId="0" applyNumberFormat="1" applyFont="1" applyFill="1" applyBorder="1" applyAlignment="1" applyProtection="1">
      <alignment horizontal="left" vertical="center" wrapText="1"/>
      <protection/>
    </xf>
    <xf numFmtId="164" fontId="19" fillId="0" borderId="12" xfId="0" applyNumberFormat="1" applyFont="1" applyFill="1" applyBorder="1" applyAlignment="1" applyProtection="1">
      <alignment horizontal="left" vertical="center" wrapText="1"/>
      <protection/>
    </xf>
    <xf numFmtId="164" fontId="17" fillId="0" borderId="12" xfId="0" applyNumberFormat="1" applyFont="1" applyFill="1" applyBorder="1" applyAlignment="1" applyProtection="1">
      <alignment horizontal="left" vertical="center" wrapText="1"/>
      <protection/>
    </xf>
    <xf numFmtId="165" fontId="17" fillId="0" borderId="13" xfId="0" applyNumberFormat="1" applyFont="1" applyFill="1" applyBorder="1" applyAlignment="1" applyProtection="1">
      <alignment horizontal="left" vertical="center"/>
      <protection/>
    </xf>
    <xf numFmtId="164" fontId="17" fillId="0" borderId="14" xfId="0" applyNumberFormat="1" applyFont="1" applyFill="1" applyBorder="1" applyAlignment="1" applyProtection="1">
      <alignment vertical="center"/>
      <protection/>
    </xf>
    <xf numFmtId="164" fontId="17" fillId="0" borderId="14" xfId="0" applyNumberFormat="1" applyFont="1" applyFill="1" applyBorder="1" applyAlignment="1" applyProtection="1">
      <alignment horizontal="left" vertical="center" wrapText="1"/>
      <protection/>
    </xf>
    <xf numFmtId="164" fontId="17" fillId="0" borderId="0" xfId="0" applyNumberFormat="1" applyFont="1" applyFill="1" applyBorder="1" applyAlignment="1" applyProtection="1">
      <alignment horizontal="left" vertical="center" wrapText="1"/>
      <protection/>
    </xf>
    <xf numFmtId="165" fontId="17" fillId="0" borderId="15" xfId="0" applyNumberFormat="1" applyFont="1" applyFill="1" applyBorder="1" applyAlignment="1" applyProtection="1">
      <alignment horizontal="left" vertical="center"/>
      <protection/>
    </xf>
    <xf numFmtId="165" fontId="17" fillId="0" borderId="0" xfId="0" applyNumberFormat="1" applyFont="1" applyFill="1" applyBorder="1" applyAlignment="1" applyProtection="1">
      <alignment horizontal="left" vertical="center"/>
      <protection/>
    </xf>
    <xf numFmtId="164" fontId="17" fillId="0" borderId="0" xfId="0" applyNumberFormat="1" applyFont="1" applyFill="1" applyBorder="1" applyAlignment="1" applyProtection="1">
      <alignment horizontal="left" vertical="center"/>
      <protection/>
    </xf>
    <xf numFmtId="164" fontId="17" fillId="0" borderId="16" xfId="0" applyNumberFormat="1" applyFont="1" applyFill="1" applyBorder="1" applyAlignment="1" applyProtection="1">
      <alignment horizontal="left" vertical="center" wrapText="1"/>
      <protection/>
    </xf>
    <xf numFmtId="164" fontId="17" fillId="0" borderId="10" xfId="0" applyNumberFormat="1" applyFont="1" applyFill="1" applyBorder="1" applyAlignment="1" applyProtection="1">
      <alignment horizontal="left" vertical="center" wrapText="1"/>
      <protection/>
    </xf>
    <xf numFmtId="165" fontId="17" fillId="0" borderId="10" xfId="0" applyNumberFormat="1" applyFont="1" applyFill="1" applyBorder="1" applyAlignment="1" applyProtection="1">
      <alignment horizontal="left" vertical="center"/>
      <protection/>
    </xf>
    <xf numFmtId="166" fontId="17" fillId="0" borderId="17" xfId="0" applyNumberFormat="1" applyFont="1" applyFill="1" applyBorder="1" applyAlignment="1" applyProtection="1">
      <alignment horizontal="center" vertical="center"/>
      <protection/>
    </xf>
    <xf numFmtId="165" fontId="20" fillId="0" borderId="18" xfId="0" applyNumberFormat="1" applyFont="1" applyFill="1" applyBorder="1" applyAlignment="1" applyProtection="1">
      <alignment horizontal="center" vertical="center"/>
      <protection/>
    </xf>
    <xf numFmtId="165" fontId="21" fillId="19" borderId="19" xfId="0" applyNumberFormat="1" applyFont="1" applyFill="1" applyBorder="1" applyAlignment="1" applyProtection="1">
      <alignment horizontal="center" vertical="center"/>
      <protection/>
    </xf>
    <xf numFmtId="165" fontId="22" fillId="0" borderId="19" xfId="0" applyNumberFormat="1" applyFont="1" applyFill="1" applyBorder="1" applyAlignment="1" applyProtection="1">
      <alignment horizontal="left" vertical="center"/>
      <protection/>
    </xf>
    <xf numFmtId="165" fontId="23" fillId="0" borderId="20" xfId="0" applyNumberFormat="1" applyFont="1" applyFill="1" applyBorder="1" applyAlignment="1" applyProtection="1">
      <alignment horizontal="left" vertical="center"/>
      <protection/>
    </xf>
    <xf numFmtId="165" fontId="24" fillId="0" borderId="19" xfId="0" applyNumberFormat="1" applyFont="1" applyFill="1" applyBorder="1" applyAlignment="1" applyProtection="1">
      <alignment horizontal="left" vertical="center"/>
      <protection/>
    </xf>
    <xf numFmtId="167" fontId="24" fillId="0" borderId="19" xfId="0" applyNumberFormat="1" applyFont="1" applyFill="1" applyBorder="1" applyAlignment="1" applyProtection="1">
      <alignment horizontal="right" vertical="center"/>
      <protection/>
    </xf>
    <xf numFmtId="165" fontId="23" fillId="0" borderId="21" xfId="0" applyNumberFormat="1" applyFont="1" applyFill="1" applyBorder="1" applyAlignment="1" applyProtection="1">
      <alignment horizontal="left" vertical="center"/>
      <protection/>
    </xf>
    <xf numFmtId="165" fontId="24" fillId="0" borderId="19" xfId="0" applyNumberFormat="1" applyFont="1" applyFill="1" applyBorder="1" applyAlignment="1" applyProtection="1">
      <alignment horizontal="right" vertical="center"/>
      <protection/>
    </xf>
    <xf numFmtId="165" fontId="23" fillId="0" borderId="19" xfId="0" applyNumberFormat="1" applyFont="1" applyFill="1" applyBorder="1" applyAlignment="1" applyProtection="1">
      <alignment horizontal="left" vertical="center"/>
      <protection/>
    </xf>
    <xf numFmtId="164" fontId="17" fillId="0" borderId="12" xfId="0" applyNumberFormat="1" applyFont="1" applyFill="1" applyBorder="1" applyAlignment="1" applyProtection="1">
      <alignment vertical="center"/>
      <protection/>
    </xf>
    <xf numFmtId="164" fontId="17" fillId="0" borderId="13" xfId="0" applyNumberFormat="1" applyFont="1" applyFill="1" applyBorder="1" applyAlignment="1" applyProtection="1">
      <alignment vertical="center"/>
      <protection/>
    </xf>
    <xf numFmtId="167" fontId="24" fillId="0" borderId="22" xfId="0" applyNumberFormat="1" applyFont="1" applyFill="1" applyBorder="1" applyAlignment="1" applyProtection="1">
      <alignment horizontal="right" vertical="center"/>
      <protection/>
    </xf>
    <xf numFmtId="164" fontId="17" fillId="0" borderId="23" xfId="0" applyNumberFormat="1" applyFont="1" applyFill="1" applyBorder="1" applyAlignment="1" applyProtection="1">
      <alignment vertical="center"/>
      <protection/>
    </xf>
    <xf numFmtId="164" fontId="17" fillId="0" borderId="15" xfId="0" applyNumberFormat="1" applyFont="1" applyFill="1" applyBorder="1" applyAlignment="1" applyProtection="1">
      <alignment vertical="center"/>
      <protection/>
    </xf>
    <xf numFmtId="164" fontId="17" fillId="0" borderId="10" xfId="0" applyNumberFormat="1" applyFont="1" applyFill="1" applyBorder="1" applyAlignment="1" applyProtection="1">
      <alignment vertical="center"/>
      <protection/>
    </xf>
    <xf numFmtId="165" fontId="23" fillId="19" borderId="24" xfId="0" applyNumberFormat="1" applyFont="1" applyFill="1" applyBorder="1" applyAlignment="1" applyProtection="1">
      <alignment horizontal="left" vertical="center"/>
      <protection/>
    </xf>
    <xf numFmtId="167" fontId="23" fillId="19" borderId="25" xfId="0" applyNumberFormat="1" applyFont="1" applyFill="1" applyBorder="1" applyAlignment="1" applyProtection="1">
      <alignment horizontal="right" vertical="center"/>
      <protection/>
    </xf>
    <xf numFmtId="164" fontId="17" fillId="0" borderId="16" xfId="0" applyNumberFormat="1" applyFont="1" applyFill="1" applyBorder="1" applyAlignment="1" applyProtection="1">
      <alignment vertical="center"/>
      <protection/>
    </xf>
    <xf numFmtId="164" fontId="17" fillId="0" borderId="26" xfId="0" applyNumberFormat="1" applyFont="1" applyFill="1" applyBorder="1" applyAlignment="1" applyProtection="1">
      <alignment vertical="center"/>
      <protection/>
    </xf>
    <xf numFmtId="165" fontId="24" fillId="0" borderId="27" xfId="0" applyNumberFormat="1" applyFont="1" applyFill="1" applyBorder="1" applyAlignment="1" applyProtection="1">
      <alignment horizontal="left" vertical="center"/>
      <protection/>
    </xf>
    <xf numFmtId="164" fontId="17" fillId="0" borderId="28" xfId="0" applyNumberFormat="1" applyFont="1" applyFill="1" applyBorder="1" applyAlignment="1" applyProtection="1">
      <alignment vertical="center"/>
      <protection/>
    </xf>
    <xf numFmtId="165" fontId="24" fillId="0" borderId="29" xfId="0" applyNumberFormat="1" applyFont="1" applyFill="1" applyBorder="1" applyAlignment="1" applyProtection="1">
      <alignment horizontal="left" vertical="center"/>
      <protection/>
    </xf>
    <xf numFmtId="165" fontId="24" fillId="0" borderId="30" xfId="0" applyNumberFormat="1" applyFont="1" applyFill="1" applyBorder="1" applyAlignment="1" applyProtection="1">
      <alignment horizontal="left" vertical="center"/>
      <protection/>
    </xf>
    <xf numFmtId="165" fontId="25" fillId="0" borderId="31" xfId="0" applyNumberFormat="1" applyFont="1" applyFill="1" applyBorder="1" applyAlignment="1" applyProtection="1">
      <alignment horizontal="left" vertical="center"/>
      <protection/>
    </xf>
    <xf numFmtId="164" fontId="17" fillId="0" borderId="31" xfId="0" applyNumberFormat="1" applyFont="1" applyFill="1" applyBorder="1" applyAlignment="1" applyProtection="1">
      <alignment vertical="center"/>
      <protection/>
    </xf>
    <xf numFmtId="164" fontId="26" fillId="0" borderId="0" xfId="0" applyNumberFormat="1" applyFont="1" applyFill="1" applyBorder="1" applyAlignment="1" applyProtection="1">
      <alignment vertical="center"/>
      <protection/>
    </xf>
    <xf numFmtId="164" fontId="26" fillId="0" borderId="17" xfId="0" applyNumberFormat="1" applyFont="1" applyFill="1" applyBorder="1" applyAlignment="1" applyProtection="1">
      <alignment vertical="center"/>
      <protection/>
    </xf>
    <xf numFmtId="165" fontId="23" fillId="0" borderId="17" xfId="0" applyNumberFormat="1" applyFont="1" applyFill="1" applyBorder="1" applyAlignment="1" applyProtection="1">
      <alignment horizontal="left" vertical="center"/>
      <protection/>
    </xf>
    <xf numFmtId="164" fontId="17" fillId="0" borderId="17" xfId="0" applyNumberFormat="1" applyFont="1" applyFill="1" applyBorder="1" applyAlignment="1" applyProtection="1">
      <alignment vertical="center"/>
      <protection/>
    </xf>
    <xf numFmtId="165" fontId="19" fillId="0" borderId="32" xfId="0" applyNumberFormat="1" applyFont="1" applyFill="1" applyBorder="1" applyAlignment="1" applyProtection="1">
      <alignment horizontal="left" vertical="center"/>
      <protection/>
    </xf>
    <xf numFmtId="165" fontId="19" fillId="0" borderId="32" xfId="0" applyNumberFormat="1" applyFont="1" applyFill="1" applyBorder="1" applyAlignment="1" applyProtection="1">
      <alignment horizontal="right" vertical="center"/>
      <protection/>
    </xf>
    <xf numFmtId="164" fontId="17" fillId="0" borderId="0" xfId="0" applyFont="1" applyAlignment="1">
      <alignment horizontal="center" vertical="center"/>
    </xf>
    <xf numFmtId="165" fontId="17" fillId="0" borderId="19" xfId="0" applyNumberFormat="1" applyFont="1" applyFill="1" applyBorder="1" applyAlignment="1" applyProtection="1">
      <alignment horizontal="left" vertical="center"/>
      <protection/>
    </xf>
    <xf numFmtId="167" fontId="17" fillId="0" borderId="19" xfId="0" applyNumberFormat="1" applyFont="1" applyFill="1" applyBorder="1" applyAlignment="1" applyProtection="1">
      <alignment horizontal="right" vertical="center"/>
      <protection/>
    </xf>
    <xf numFmtId="165" fontId="17" fillId="0" borderId="22" xfId="0" applyNumberFormat="1" applyFont="1" applyFill="1" applyBorder="1" applyAlignment="1" applyProtection="1">
      <alignment horizontal="left" vertical="center"/>
      <protection/>
    </xf>
    <xf numFmtId="167" fontId="17" fillId="0" borderId="22" xfId="0" applyNumberFormat="1" applyFont="1" applyFill="1" applyBorder="1" applyAlignment="1" applyProtection="1">
      <alignment horizontal="right" vertical="center"/>
      <protection/>
    </xf>
    <xf numFmtId="165" fontId="19" fillId="0" borderId="33" xfId="0" applyNumberFormat="1" applyFont="1" applyFill="1" applyBorder="1" applyAlignment="1" applyProtection="1">
      <alignment horizontal="left" vertical="center"/>
      <protection/>
    </xf>
    <xf numFmtId="165" fontId="19" fillId="0" borderId="33" xfId="0" applyNumberFormat="1" applyFont="1" applyFill="1" applyBorder="1" applyAlignment="1" applyProtection="1">
      <alignment horizontal="right" vertical="center"/>
      <protection/>
    </xf>
    <xf numFmtId="167" fontId="19" fillId="0" borderId="33" xfId="0" applyNumberFormat="1" applyFont="1" applyFill="1" applyBorder="1" applyAlignment="1" applyProtection="1">
      <alignment horizontal="right" vertical="center"/>
      <protection/>
    </xf>
    <xf numFmtId="164" fontId="17" fillId="0" borderId="34" xfId="0" applyNumberFormat="1" applyFont="1" applyFill="1" applyBorder="1" applyAlignment="1" applyProtection="1">
      <alignment vertical="center"/>
      <protection/>
    </xf>
    <xf numFmtId="165" fontId="23" fillId="0" borderId="33" xfId="0" applyNumberFormat="1" applyFont="1" applyFill="1" applyBorder="1" applyAlignment="1" applyProtection="1">
      <alignment horizontal="left" vertical="center"/>
      <protection/>
    </xf>
    <xf numFmtId="167" fontId="23" fillId="0" borderId="33" xfId="0" applyNumberFormat="1" applyFont="1" applyFill="1" applyBorder="1" applyAlignment="1" applyProtection="1">
      <alignment horizontal="right" vertical="center"/>
      <protection/>
    </xf>
    <xf numFmtId="165" fontId="27" fillId="0" borderId="10" xfId="0" applyNumberFormat="1" applyFont="1" applyFill="1" applyBorder="1" applyAlignment="1" applyProtection="1">
      <alignment horizontal="center"/>
      <protection/>
    </xf>
    <xf numFmtId="164" fontId="26" fillId="0" borderId="11" xfId="0" applyNumberFormat="1" applyFont="1" applyFill="1" applyBorder="1" applyAlignment="1" applyProtection="1">
      <alignment horizontal="left" vertical="center" wrapText="1"/>
      <protection/>
    </xf>
    <xf numFmtId="164" fontId="28" fillId="0" borderId="12" xfId="0" applyNumberFormat="1" applyFont="1" applyFill="1" applyBorder="1" applyAlignment="1" applyProtection="1">
      <alignment horizontal="left" vertical="center" wrapText="1"/>
      <protection/>
    </xf>
    <xf numFmtId="165" fontId="26" fillId="0" borderId="12" xfId="0" applyNumberFormat="1" applyFont="1" applyFill="1" applyBorder="1" applyAlignment="1" applyProtection="1">
      <alignment horizontal="left" vertical="center"/>
      <protection/>
    </xf>
    <xf numFmtId="164" fontId="26" fillId="0" borderId="12" xfId="0" applyNumberFormat="1" applyFont="1" applyFill="1" applyBorder="1" applyAlignment="1" applyProtection="1">
      <alignment horizontal="left" vertical="center" wrapText="1"/>
      <protection/>
    </xf>
    <xf numFmtId="164" fontId="26" fillId="0" borderId="13" xfId="0" applyNumberFormat="1" applyFont="1" applyFill="1" applyBorder="1" applyAlignment="1" applyProtection="1">
      <alignment horizontal="left" vertical="center" wrapText="1"/>
      <protection/>
    </xf>
    <xf numFmtId="164" fontId="26" fillId="0" borderId="14" xfId="0" applyNumberFormat="1" applyFont="1" applyFill="1" applyBorder="1" applyAlignment="1" applyProtection="1">
      <alignment horizontal="left" vertical="center" wrapText="1"/>
      <protection/>
    </xf>
    <xf numFmtId="164" fontId="26" fillId="0" borderId="0" xfId="0" applyNumberFormat="1" applyFont="1" applyFill="1" applyBorder="1" applyAlignment="1" applyProtection="1">
      <alignment horizontal="left" vertical="center" wrapText="1"/>
      <protection/>
    </xf>
    <xf numFmtId="165" fontId="26" fillId="0" borderId="0" xfId="0" applyNumberFormat="1" applyFont="1" applyFill="1" applyBorder="1" applyAlignment="1" applyProtection="1">
      <alignment horizontal="left" vertical="center"/>
      <protection/>
    </xf>
    <xf numFmtId="164" fontId="26" fillId="0" borderId="15" xfId="0" applyNumberFormat="1" applyFont="1" applyFill="1" applyBorder="1" applyAlignment="1" applyProtection="1">
      <alignment horizontal="left" vertical="center" wrapText="1"/>
      <protection/>
    </xf>
    <xf numFmtId="164" fontId="26" fillId="0" borderId="0" xfId="0" applyNumberFormat="1" applyFont="1" applyFill="1" applyBorder="1" applyAlignment="1" applyProtection="1">
      <alignment horizontal="left" vertical="center"/>
      <protection/>
    </xf>
    <xf numFmtId="164" fontId="26" fillId="0" borderId="35" xfId="0" applyNumberFormat="1" applyFont="1" applyFill="1" applyBorder="1" applyAlignment="1" applyProtection="1">
      <alignment horizontal="left" vertical="center" wrapText="1"/>
      <protection/>
    </xf>
    <xf numFmtId="164" fontId="26" fillId="0" borderId="17" xfId="0" applyNumberFormat="1" applyFont="1" applyFill="1" applyBorder="1" applyAlignment="1" applyProtection="1">
      <alignment horizontal="left" vertical="center" wrapText="1"/>
      <protection/>
    </xf>
    <xf numFmtId="165" fontId="26" fillId="0" borderId="17" xfId="0" applyNumberFormat="1" applyFont="1" applyFill="1" applyBorder="1" applyAlignment="1" applyProtection="1">
      <alignment horizontal="left" vertical="center"/>
      <protection/>
    </xf>
    <xf numFmtId="166" fontId="26" fillId="0" borderId="17" xfId="0" applyNumberFormat="1" applyFont="1" applyFill="1" applyBorder="1" applyAlignment="1" applyProtection="1">
      <alignment horizontal="left" vertical="center"/>
      <protection/>
    </xf>
    <xf numFmtId="164" fontId="26" fillId="0" borderId="36" xfId="0" applyNumberFormat="1" applyFont="1" applyFill="1" applyBorder="1" applyAlignment="1" applyProtection="1">
      <alignment horizontal="left" vertical="center" wrapText="1"/>
      <protection/>
    </xf>
    <xf numFmtId="165" fontId="28" fillId="0" borderId="37" xfId="0" applyNumberFormat="1" applyFont="1" applyFill="1" applyBorder="1" applyAlignment="1" applyProtection="1">
      <alignment horizontal="left" vertical="center"/>
      <protection/>
    </xf>
    <xf numFmtId="165" fontId="28" fillId="0" borderId="38" xfId="0" applyNumberFormat="1" applyFont="1" applyFill="1" applyBorder="1" applyAlignment="1" applyProtection="1">
      <alignment horizontal="left" vertical="center"/>
      <protection/>
    </xf>
    <xf numFmtId="165" fontId="28" fillId="0" borderId="38" xfId="0" applyNumberFormat="1" applyFont="1" applyFill="1" applyBorder="1" applyAlignment="1" applyProtection="1">
      <alignment horizontal="center" vertical="center"/>
      <protection/>
    </xf>
    <xf numFmtId="165" fontId="28" fillId="0" borderId="39" xfId="0" applyNumberFormat="1" applyFont="1" applyFill="1" applyBorder="1" applyAlignment="1" applyProtection="1">
      <alignment horizontal="center" vertical="center"/>
      <protection/>
    </xf>
    <xf numFmtId="165" fontId="28" fillId="0" borderId="32" xfId="0" applyNumberFormat="1" applyFont="1" applyFill="1" applyBorder="1" applyAlignment="1" applyProtection="1">
      <alignment horizontal="center" vertical="center"/>
      <protection/>
    </xf>
    <xf numFmtId="165" fontId="28" fillId="0" borderId="27" xfId="0" applyNumberFormat="1" applyFont="1" applyFill="1" applyBorder="1" applyAlignment="1" applyProtection="1">
      <alignment horizontal="center" vertical="center"/>
      <protection/>
    </xf>
    <xf numFmtId="165" fontId="26" fillId="0" borderId="40" xfId="0" applyNumberFormat="1" applyFont="1" applyFill="1" applyBorder="1" applyAlignment="1" applyProtection="1">
      <alignment horizontal="left" vertical="center"/>
      <protection/>
    </xf>
    <xf numFmtId="165" fontId="26" fillId="0" borderId="41" xfId="0" applyNumberFormat="1" applyFont="1" applyFill="1" applyBorder="1" applyAlignment="1" applyProtection="1">
      <alignment horizontal="left" vertical="center"/>
      <protection/>
    </xf>
    <xf numFmtId="165" fontId="28" fillId="0" borderId="41" xfId="0" applyNumberFormat="1" applyFont="1" applyFill="1" applyBorder="1" applyAlignment="1" applyProtection="1">
      <alignment horizontal="left" vertical="center"/>
      <protection/>
    </xf>
    <xf numFmtId="165" fontId="28" fillId="0" borderId="42" xfId="0" applyNumberFormat="1" applyFont="1" applyFill="1" applyBorder="1" applyAlignment="1" applyProtection="1">
      <alignment horizontal="right" vertical="center"/>
      <protection/>
    </xf>
    <xf numFmtId="165" fontId="28" fillId="0" borderId="43" xfId="0" applyNumberFormat="1" applyFont="1" applyFill="1" applyBorder="1" applyAlignment="1" applyProtection="1">
      <alignment horizontal="center" vertical="center"/>
      <protection/>
    </xf>
    <xf numFmtId="165" fontId="28" fillId="0" borderId="22" xfId="0" applyNumberFormat="1" applyFont="1" applyFill="1" applyBorder="1" applyAlignment="1" applyProtection="1">
      <alignment horizontal="center" vertical="center"/>
      <protection/>
    </xf>
    <xf numFmtId="165" fontId="28" fillId="0" borderId="44" xfId="0" applyNumberFormat="1" applyFont="1" applyFill="1" applyBorder="1" applyAlignment="1" applyProtection="1">
      <alignment horizontal="center" vertical="center"/>
      <protection/>
    </xf>
    <xf numFmtId="165" fontId="28" fillId="0" borderId="30" xfId="0" applyNumberFormat="1" applyFont="1" applyFill="1" applyBorder="1" applyAlignment="1" applyProtection="1">
      <alignment horizontal="center" vertical="center"/>
      <protection/>
    </xf>
    <xf numFmtId="165" fontId="19" fillId="19" borderId="0" xfId="0" applyNumberFormat="1" applyFont="1" applyFill="1" applyBorder="1" applyAlignment="1" applyProtection="1">
      <alignment horizontal="right" vertical="center"/>
      <protection/>
    </xf>
    <xf numFmtId="165" fontId="26" fillId="16" borderId="31" xfId="0" applyNumberFormat="1" applyFont="1" applyFill="1" applyBorder="1" applyAlignment="1" applyProtection="1">
      <alignment horizontal="left" vertical="center"/>
      <protection/>
    </xf>
    <xf numFmtId="165" fontId="28" fillId="16" borderId="31" xfId="0" applyNumberFormat="1" applyFont="1" applyFill="1" applyBorder="1" applyAlignment="1" applyProtection="1">
      <alignment horizontal="left" vertical="center"/>
      <protection/>
    </xf>
    <xf numFmtId="167" fontId="28" fillId="16" borderId="31" xfId="0" applyNumberFormat="1" applyFont="1" applyFill="1" applyBorder="1" applyAlignment="1" applyProtection="1">
      <alignment horizontal="right" vertical="center"/>
      <protection/>
    </xf>
    <xf numFmtId="165" fontId="28" fillId="16" borderId="31" xfId="0" applyNumberFormat="1" applyFont="1" applyFill="1" applyBorder="1" applyAlignment="1" applyProtection="1">
      <alignment horizontal="right" vertical="center"/>
      <protection/>
    </xf>
    <xf numFmtId="165" fontId="26" fillId="19" borderId="0" xfId="0" applyNumberFormat="1" applyFont="1" applyFill="1" applyBorder="1" applyAlignment="1" applyProtection="1">
      <alignment horizontal="left" vertical="center"/>
      <protection/>
    </xf>
    <xf numFmtId="165" fontId="28" fillId="19" borderId="0" xfId="0" applyNumberFormat="1" applyFont="1" applyFill="1" applyBorder="1" applyAlignment="1" applyProtection="1">
      <alignment horizontal="left" vertical="center"/>
      <protection/>
    </xf>
    <xf numFmtId="167" fontId="28" fillId="19" borderId="0" xfId="0" applyNumberFormat="1" applyFont="1" applyFill="1" applyBorder="1" applyAlignment="1" applyProtection="1">
      <alignment horizontal="right" vertical="center"/>
      <protection/>
    </xf>
    <xf numFmtId="165" fontId="28" fillId="19" borderId="0" xfId="0" applyNumberFormat="1" applyFont="1" applyFill="1" applyBorder="1" applyAlignment="1" applyProtection="1">
      <alignment horizontal="right" vertical="center"/>
      <protection/>
    </xf>
    <xf numFmtId="167" fontId="19" fillId="19" borderId="0" xfId="0" applyNumberFormat="1" applyFont="1" applyFill="1" applyBorder="1" applyAlignment="1" applyProtection="1">
      <alignment horizontal="right" vertical="center"/>
      <protection/>
    </xf>
    <xf numFmtId="168" fontId="26" fillId="0" borderId="0" xfId="0" applyNumberFormat="1" applyFont="1" applyFill="1" applyBorder="1" applyAlignment="1" applyProtection="1">
      <alignment horizontal="right" vertical="center"/>
      <protection/>
    </xf>
    <xf numFmtId="167" fontId="26" fillId="0" borderId="0" xfId="0" applyNumberFormat="1" applyFont="1" applyFill="1" applyBorder="1" applyAlignment="1" applyProtection="1">
      <alignment horizontal="right" vertical="center"/>
      <protection/>
    </xf>
    <xf numFmtId="165" fontId="26" fillId="0" borderId="0" xfId="0" applyNumberFormat="1" applyFont="1" applyFill="1" applyBorder="1" applyAlignment="1" applyProtection="1">
      <alignment horizontal="right" vertical="center"/>
      <protection/>
    </xf>
    <xf numFmtId="165" fontId="17" fillId="0" borderId="0" xfId="0" applyNumberFormat="1" applyFont="1" applyFill="1" applyBorder="1" applyAlignment="1" applyProtection="1">
      <alignment horizontal="right" vertical="center"/>
      <protection/>
    </xf>
    <xf numFmtId="167" fontId="17" fillId="0" borderId="0" xfId="0" applyNumberFormat="1" applyFont="1" applyFill="1" applyBorder="1" applyAlignment="1" applyProtection="1">
      <alignment horizontal="right" vertical="center"/>
      <protection/>
    </xf>
    <xf numFmtId="164" fontId="26" fillId="0" borderId="0" xfId="0" applyFont="1" applyAlignment="1">
      <alignment vertical="center"/>
    </xf>
    <xf numFmtId="165" fontId="29" fillId="0" borderId="0" xfId="0" applyNumberFormat="1" applyFont="1" applyFill="1" applyBorder="1" applyAlignment="1" applyProtection="1">
      <alignment horizontal="left" vertical="center"/>
      <protection/>
    </xf>
    <xf numFmtId="168" fontId="29" fillId="0" borderId="0" xfId="0" applyNumberFormat="1" applyFont="1" applyFill="1" applyBorder="1" applyAlignment="1" applyProtection="1">
      <alignment horizontal="right" vertical="center"/>
      <protection/>
    </xf>
    <xf numFmtId="165" fontId="30" fillId="0" borderId="0" xfId="0" applyNumberFormat="1" applyFont="1" applyFill="1" applyBorder="1" applyAlignment="1" applyProtection="1">
      <alignment horizontal="right" vertical="top"/>
      <protection/>
    </xf>
    <xf numFmtId="164" fontId="30" fillId="0" borderId="0" xfId="0" applyNumberFormat="1" applyFont="1" applyFill="1" applyBorder="1" applyAlignment="1" applyProtection="1">
      <alignment horizontal="left" vertical="top" wrapText="1"/>
      <protection/>
    </xf>
    <xf numFmtId="165" fontId="31" fillId="0" borderId="0" xfId="0" applyNumberFormat="1" applyFont="1" applyFill="1" applyBorder="1" applyAlignment="1" applyProtection="1">
      <alignment horizontal="left" vertical="center"/>
      <protection/>
    </xf>
    <xf numFmtId="168" fontId="31" fillId="0" borderId="0" xfId="0" applyNumberFormat="1" applyFont="1" applyFill="1" applyBorder="1" applyAlignment="1" applyProtection="1">
      <alignment horizontal="right" vertical="center"/>
      <protection/>
    </xf>
    <xf numFmtId="167" fontId="31" fillId="0" borderId="0" xfId="0" applyNumberFormat="1" applyFont="1" applyFill="1" applyBorder="1" applyAlignment="1" applyProtection="1">
      <alignment horizontal="right" vertical="center"/>
      <protection/>
    </xf>
    <xf numFmtId="165" fontId="31" fillId="0" borderId="0" xfId="0" applyNumberFormat="1" applyFont="1" applyFill="1" applyBorder="1" applyAlignment="1" applyProtection="1">
      <alignment horizontal="right" vertical="center"/>
      <protection/>
    </xf>
    <xf numFmtId="165" fontId="32" fillId="0" borderId="0" xfId="0" applyNumberFormat="1" applyFont="1" applyFill="1" applyBorder="1" applyAlignment="1" applyProtection="1">
      <alignment horizontal="right" vertical="center"/>
      <protection/>
    </xf>
    <xf numFmtId="167" fontId="32" fillId="0" borderId="0" xfId="0" applyNumberFormat="1" applyFont="1" applyFill="1" applyBorder="1" applyAlignment="1" applyProtection="1">
      <alignment horizontal="right" vertical="center"/>
      <protection/>
    </xf>
    <xf numFmtId="165" fontId="26" fillId="0" borderId="10" xfId="0" applyNumberFormat="1" applyFont="1" applyFill="1" applyBorder="1" applyAlignment="1" applyProtection="1">
      <alignment horizontal="left" vertical="center"/>
      <protection/>
    </xf>
    <xf numFmtId="168" fontId="26" fillId="0" borderId="10" xfId="0" applyNumberFormat="1" applyFont="1" applyFill="1" applyBorder="1" applyAlignment="1" applyProtection="1">
      <alignment horizontal="right" vertical="center"/>
      <protection/>
    </xf>
    <xf numFmtId="167" fontId="26" fillId="0" borderId="10" xfId="0" applyNumberFormat="1" applyFont="1" applyFill="1" applyBorder="1" applyAlignment="1" applyProtection="1">
      <alignment horizontal="right" vertical="center"/>
      <protection/>
    </xf>
    <xf numFmtId="165" fontId="26" fillId="0" borderId="10" xfId="0" applyNumberFormat="1" applyFont="1" applyFill="1" applyBorder="1" applyAlignment="1" applyProtection="1">
      <alignment horizontal="right" vertical="center"/>
      <protection/>
    </xf>
    <xf numFmtId="164" fontId="26" fillId="0" borderId="12" xfId="0" applyNumberFormat="1" applyFont="1" applyFill="1" applyBorder="1" applyAlignment="1" applyProtection="1">
      <alignment vertical="center"/>
      <protection/>
    </xf>
    <xf numFmtId="165" fontId="28" fillId="0" borderId="12" xfId="0" applyNumberFormat="1" applyFont="1" applyFill="1" applyBorder="1" applyAlignment="1" applyProtection="1">
      <alignment horizontal="left" vertical="center"/>
      <protection/>
    </xf>
    <xf numFmtId="167" fontId="28" fillId="0" borderId="12" xfId="0" applyNumberFormat="1" applyFont="1" applyFill="1" applyBorder="1" applyAlignment="1" applyProtection="1">
      <alignment horizontal="right" vertical="center"/>
      <protection/>
    </xf>
    <xf numFmtId="167" fontId="19" fillId="0" borderId="0" xfId="0" applyNumberFormat="1" applyFont="1" applyFill="1" applyBorder="1" applyAlignment="1" applyProtection="1">
      <alignment horizontal="right" vertical="center"/>
      <protection/>
    </xf>
    <xf numFmtId="165" fontId="25" fillId="0" borderId="0" xfId="0" applyNumberFormat="1" applyFont="1" applyFill="1" applyBorder="1" applyAlignment="1" applyProtection="1">
      <alignment horizontal="left" vertical="center"/>
      <protection/>
    </xf>
    <xf numFmtId="164" fontId="10" fillId="0" borderId="0" xfId="48">
      <alignment/>
      <protection/>
    </xf>
    <xf numFmtId="165" fontId="10" fillId="0" borderId="0" xfId="48" applyNumberFormat="1">
      <alignment/>
      <protection/>
    </xf>
    <xf numFmtId="164" fontId="33" fillId="0" borderId="0" xfId="48" applyFont="1" applyBorder="1" applyAlignment="1">
      <alignment horizontal="center"/>
      <protection/>
    </xf>
    <xf numFmtId="164" fontId="10" fillId="0" borderId="19" xfId="48" applyFont="1" applyBorder="1" applyAlignment="1">
      <alignment vertical="center"/>
      <protection/>
    </xf>
    <xf numFmtId="165" fontId="10" fillId="0" borderId="18" xfId="48" applyNumberFormat="1" applyBorder="1" applyAlignment="1">
      <alignment vertical="center"/>
      <protection/>
    </xf>
    <xf numFmtId="165" fontId="10" fillId="0" borderId="25" xfId="48" applyNumberFormat="1" applyFont="1" applyBorder="1" applyAlignment="1">
      <alignment vertical="center"/>
      <protection/>
    </xf>
    <xf numFmtId="164" fontId="10" fillId="0" borderId="25" xfId="48" applyBorder="1" applyAlignment="1">
      <alignment vertical="center"/>
      <protection/>
    </xf>
    <xf numFmtId="164" fontId="10" fillId="19" borderId="19" xfId="48" applyFont="1" applyFill="1" applyBorder="1">
      <alignment/>
      <protection/>
    </xf>
    <xf numFmtId="165" fontId="10" fillId="19" borderId="18" xfId="48" applyNumberFormat="1" applyFill="1" applyBorder="1" applyAlignment="1">
      <alignment/>
      <protection/>
    </xf>
    <xf numFmtId="165" fontId="10" fillId="19" borderId="18" xfId="48" applyNumberFormat="1" applyFill="1" applyBorder="1">
      <alignment/>
      <protection/>
    </xf>
    <xf numFmtId="164" fontId="10" fillId="19" borderId="18" xfId="48" applyFill="1" applyBorder="1" applyAlignment="1">
      <alignment horizontal="center"/>
      <protection/>
    </xf>
    <xf numFmtId="164" fontId="10" fillId="19" borderId="18" xfId="48" applyFill="1" applyBorder="1">
      <alignment/>
      <protection/>
    </xf>
    <xf numFmtId="164" fontId="10" fillId="19" borderId="25" xfId="48" applyFill="1" applyBorder="1">
      <alignment/>
      <protection/>
    </xf>
    <xf numFmtId="164" fontId="10" fillId="0" borderId="0" xfId="48" applyAlignment="1">
      <alignment horizontal="center"/>
      <protection/>
    </xf>
    <xf numFmtId="164" fontId="10" fillId="19" borderId="20" xfId="48" applyFont="1" applyFill="1" applyBorder="1">
      <alignment/>
      <protection/>
    </xf>
    <xf numFmtId="165" fontId="10" fillId="19" borderId="20" xfId="48" applyNumberFormat="1" applyFont="1" applyFill="1" applyBorder="1">
      <alignment/>
      <protection/>
    </xf>
    <xf numFmtId="164" fontId="10" fillId="19" borderId="20" xfId="48" applyFont="1" applyFill="1" applyBorder="1" applyAlignment="1">
      <alignment horizontal="center"/>
      <protection/>
    </xf>
    <xf numFmtId="164" fontId="10" fillId="19" borderId="11" xfId="48" applyFont="1" applyFill="1" applyBorder="1">
      <alignment/>
      <protection/>
    </xf>
    <xf numFmtId="164" fontId="10" fillId="19" borderId="20" xfId="48" applyFont="1" applyFill="1" applyBorder="1" applyAlignment="1">
      <alignment wrapText="1"/>
      <protection/>
    </xf>
    <xf numFmtId="164" fontId="10" fillId="19" borderId="24" xfId="48" applyFont="1" applyFill="1" applyBorder="1" applyAlignment="1">
      <alignment vertical="top"/>
      <protection/>
    </xf>
    <xf numFmtId="165" fontId="10" fillId="19" borderId="24" xfId="48" applyNumberFormat="1" applyFont="1" applyFill="1" applyBorder="1" applyAlignment="1">
      <alignment vertical="top"/>
      <protection/>
    </xf>
    <xf numFmtId="165" fontId="10" fillId="19" borderId="19" xfId="48" applyNumberFormat="1" applyFont="1" applyFill="1" applyBorder="1" applyAlignment="1">
      <alignment vertical="top"/>
      <protection/>
    </xf>
    <xf numFmtId="164" fontId="10" fillId="19" borderId="25" xfId="48" applyFill="1" applyBorder="1" applyAlignment="1">
      <alignment horizontal="center" vertical="top"/>
      <protection/>
    </xf>
    <xf numFmtId="169" fontId="10" fillId="19" borderId="19" xfId="48" applyNumberFormat="1" applyFill="1" applyBorder="1" applyAlignment="1">
      <alignment vertical="top"/>
      <protection/>
    </xf>
    <xf numFmtId="167" fontId="10" fillId="19" borderId="19" xfId="48" applyNumberFormat="1" applyFill="1" applyBorder="1" applyAlignment="1">
      <alignment vertical="top"/>
      <protection/>
    </xf>
    <xf numFmtId="167" fontId="10" fillId="19" borderId="24" xfId="48" applyNumberFormat="1" applyFill="1" applyBorder="1" applyAlignment="1">
      <alignment vertical="top"/>
      <protection/>
    </xf>
    <xf numFmtId="164" fontId="34" fillId="0" borderId="14" xfId="48" applyFont="1" applyBorder="1" applyAlignment="1">
      <alignment vertical="top"/>
      <protection/>
    </xf>
    <xf numFmtId="164" fontId="34" fillId="0" borderId="14" xfId="48" applyNumberFormat="1" applyFont="1" applyBorder="1" applyAlignment="1">
      <alignment vertical="top"/>
      <protection/>
    </xf>
    <xf numFmtId="164" fontId="34" fillId="0" borderId="45" xfId="48" applyNumberFormat="1" applyFont="1" applyBorder="1" applyAlignment="1">
      <alignment horizontal="left" vertical="top" wrapText="1"/>
      <protection/>
    </xf>
    <xf numFmtId="164" fontId="34" fillId="0" borderId="15" xfId="48" applyFont="1" applyBorder="1" applyAlignment="1">
      <alignment horizontal="center" vertical="top" shrinkToFit="1"/>
      <protection/>
    </xf>
    <xf numFmtId="169" fontId="34" fillId="0" borderId="45" xfId="48" applyNumberFormat="1" applyFont="1" applyBorder="1" applyAlignment="1">
      <alignment vertical="top" shrinkToFit="1"/>
      <protection/>
    </xf>
    <xf numFmtId="167" fontId="34" fillId="0" borderId="45" xfId="48" applyNumberFormat="1" applyFont="1" applyBorder="1" applyAlignment="1">
      <alignment vertical="top" shrinkToFit="1"/>
      <protection/>
    </xf>
    <xf numFmtId="167" fontId="34" fillId="0" borderId="14" xfId="48" applyNumberFormat="1" applyFont="1" applyBorder="1" applyAlignment="1">
      <alignment vertical="top" shrinkToFit="1"/>
      <protection/>
    </xf>
    <xf numFmtId="164" fontId="34" fillId="0" borderId="0" xfId="48" applyFont="1">
      <alignment/>
      <protection/>
    </xf>
    <xf numFmtId="164" fontId="35" fillId="0" borderId="45" xfId="48" applyNumberFormat="1" applyFont="1" applyBorder="1" applyAlignment="1">
      <alignment horizontal="left" vertical="top" wrapText="1"/>
      <protection/>
    </xf>
    <xf numFmtId="164" fontId="35" fillId="0" borderId="15" xfId="48" applyNumberFormat="1" applyFont="1" applyBorder="1" applyAlignment="1">
      <alignment horizontal="center" vertical="top" wrapText="1" shrinkToFit="1"/>
      <protection/>
    </xf>
    <xf numFmtId="169" fontId="35" fillId="0" borderId="45" xfId="48" applyNumberFormat="1" applyFont="1" applyBorder="1" applyAlignment="1">
      <alignment vertical="top" wrapText="1" shrinkToFit="1"/>
      <protection/>
    </xf>
    <xf numFmtId="164" fontId="10" fillId="19" borderId="16" xfId="48" applyFont="1" applyFill="1" applyBorder="1" applyAlignment="1">
      <alignment vertical="top"/>
      <protection/>
    </xf>
    <xf numFmtId="164" fontId="10" fillId="19" borderId="16" xfId="48" applyNumberFormat="1" applyFont="1" applyFill="1" applyBorder="1" applyAlignment="1">
      <alignment vertical="top"/>
      <protection/>
    </xf>
    <xf numFmtId="164" fontId="10" fillId="19" borderId="21" xfId="48" applyNumberFormat="1" applyFont="1" applyFill="1" applyBorder="1" applyAlignment="1">
      <alignment horizontal="left" vertical="top" wrapText="1"/>
      <protection/>
    </xf>
    <xf numFmtId="164" fontId="10" fillId="19" borderId="46" xfId="48" applyFill="1" applyBorder="1" applyAlignment="1">
      <alignment horizontal="center" vertical="top" shrinkToFit="1"/>
      <protection/>
    </xf>
    <xf numFmtId="169" fontId="10" fillId="19" borderId="21" xfId="48" applyNumberFormat="1" applyFill="1" applyBorder="1" applyAlignment="1">
      <alignment vertical="top" shrinkToFit="1"/>
      <protection/>
    </xf>
    <xf numFmtId="167" fontId="10" fillId="19" borderId="21" xfId="48" applyNumberFormat="1" applyFill="1" applyBorder="1" applyAlignment="1">
      <alignment vertical="top" shrinkToFit="1"/>
      <protection/>
    </xf>
    <xf numFmtId="167" fontId="10" fillId="19" borderId="16" xfId="48" applyNumberFormat="1" applyFill="1" applyBorder="1" applyAlignment="1">
      <alignment vertical="top" shrinkToFit="1"/>
      <protection/>
    </xf>
    <xf numFmtId="164" fontId="10" fillId="0" borderId="0" xfId="48" applyAlignment="1">
      <alignment vertical="top"/>
      <protection/>
    </xf>
    <xf numFmtId="165" fontId="10" fillId="0" borderId="0" xfId="48" applyNumberFormat="1" applyAlignment="1">
      <alignment vertical="top"/>
      <protection/>
    </xf>
    <xf numFmtId="165" fontId="36" fillId="0" borderId="0" xfId="48" applyNumberFormat="1" applyFont="1" applyAlignment="1">
      <alignment horizontal="left" vertical="top" wrapText="1"/>
      <protection/>
    </xf>
    <xf numFmtId="164" fontId="36" fillId="0" borderId="0" xfId="48" applyFont="1" applyAlignment="1">
      <alignment horizontal="center" vertical="top"/>
      <protection/>
    </xf>
    <xf numFmtId="164" fontId="36" fillId="0" borderId="0" xfId="48" applyFont="1" applyAlignment="1">
      <alignment vertical="top"/>
      <protection/>
    </xf>
    <xf numFmtId="167" fontId="36" fillId="0" borderId="0" xfId="48" applyNumberFormat="1" applyFont="1" applyAlignment="1">
      <alignment vertical="top"/>
      <protection/>
    </xf>
    <xf numFmtId="165" fontId="10" fillId="0" borderId="0" xfId="48" applyNumberFormat="1" applyAlignment="1">
      <alignment horizontal="left" wrapText="1"/>
      <protection/>
    </xf>
  </cellXfs>
  <cellStyles count="49">
    <cellStyle name="Normal" xfId="0"/>
    <cellStyle name="Comma" xfId="15"/>
    <cellStyle name="Comma [0]" xfId="16"/>
    <cellStyle name="Currency" xfId="17"/>
    <cellStyle name="Currency [0]" xfId="18"/>
    <cellStyle name="Percent" xfId="19"/>
    <cellStyle name="20 % – Zvýraznění1" xfId="20"/>
    <cellStyle name="20 % – Zvýraznění2" xfId="21"/>
    <cellStyle name="20 % – Zvýraznění3" xfId="22"/>
    <cellStyle name="20 % – Zvýraznění4" xfId="23"/>
    <cellStyle name="20 % – Zvýraznění5" xfId="24"/>
    <cellStyle name="20 % – Zvýraznění6" xfId="25"/>
    <cellStyle name="40 % – Zvýraznění1" xfId="26"/>
    <cellStyle name="40 % – Zvýraznění2" xfId="27"/>
    <cellStyle name="40 % – Zvýraznění3" xfId="28"/>
    <cellStyle name="40 % – Zvýraznění4" xfId="29"/>
    <cellStyle name="40 % – Zvýraznění5" xfId="30"/>
    <cellStyle name="40 % – Zvýraznění6" xfId="31"/>
    <cellStyle name="60 % – Zvýraznění1" xfId="32"/>
    <cellStyle name="60 % – Zvýraznění2" xfId="33"/>
    <cellStyle name="60 % – Zvýraznění3" xfId="34"/>
    <cellStyle name="60 % – Zvýraznění4" xfId="35"/>
    <cellStyle name="60 % – Zvýraznění5" xfId="36"/>
    <cellStyle name="60 % – Zvýraznění6" xfId="37"/>
    <cellStyle name="Celkem" xfId="38"/>
    <cellStyle name="Chybně" xfId="39"/>
    <cellStyle name="Kontrolní buňka" xfId="40"/>
    <cellStyle name="Nadpis 1" xfId="41"/>
    <cellStyle name="Nadpis 2" xfId="42"/>
    <cellStyle name="Nadpis 3" xfId="43"/>
    <cellStyle name="Nadpis 4" xfId="44"/>
    <cellStyle name="Název" xfId="45"/>
    <cellStyle name="Neutrální" xfId="46"/>
    <cellStyle name="normální 2" xfId="47"/>
    <cellStyle name="normální_ZŠ_Dukelská_HŘIŠTĚ_SO_04_ZTI_rozpočet" xfId="48"/>
    <cellStyle name="Poznámka"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FF804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228600</xdr:colOff>
      <xdr:row>0</xdr:row>
      <xdr:rowOff>400050</xdr:rowOff>
    </xdr:to>
    <xdr:pic>
      <xdr:nvPicPr>
        <xdr:cNvPr id="1" name="Picture 2"/>
        <xdr:cNvPicPr preferRelativeResize="1">
          <a:picLocks noChangeAspect="1"/>
        </xdr:cNvPicPr>
      </xdr:nvPicPr>
      <xdr:blipFill>
        <a:blip r:embed="rId1"/>
        <a:stretch>
          <a:fillRect/>
        </a:stretch>
      </xdr:blipFill>
      <xdr:spPr>
        <a:xfrm>
          <a:off x="0" y="0"/>
          <a:ext cx="838200" cy="4000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228600</xdr:colOff>
      <xdr:row>0</xdr:row>
      <xdr:rowOff>400050</xdr:rowOff>
    </xdr:to>
    <xdr:pic>
      <xdr:nvPicPr>
        <xdr:cNvPr id="1" name="Picture 2"/>
        <xdr:cNvPicPr preferRelativeResize="1">
          <a:picLocks noChangeAspect="1"/>
        </xdr:cNvPicPr>
      </xdr:nvPicPr>
      <xdr:blipFill>
        <a:blip r:embed="rId1"/>
        <a:stretch>
          <a:fillRect/>
        </a:stretch>
      </xdr:blipFill>
      <xdr:spPr>
        <a:xfrm>
          <a:off x="0" y="0"/>
          <a:ext cx="838200" cy="4000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47625</xdr:rowOff>
    </xdr:from>
    <xdr:to>
      <xdr:col>2</xdr:col>
      <xdr:colOff>142875</xdr:colOff>
      <xdr:row>0</xdr:row>
      <xdr:rowOff>447675</xdr:rowOff>
    </xdr:to>
    <xdr:pic>
      <xdr:nvPicPr>
        <xdr:cNvPr id="1" name="Picture 2"/>
        <xdr:cNvPicPr preferRelativeResize="1">
          <a:picLocks noChangeAspect="1"/>
        </xdr:cNvPicPr>
      </xdr:nvPicPr>
      <xdr:blipFill>
        <a:blip r:embed="rId1"/>
        <a:stretch>
          <a:fillRect/>
        </a:stretch>
      </xdr:blipFill>
      <xdr:spPr>
        <a:xfrm>
          <a:off x="9525" y="47625"/>
          <a:ext cx="838200" cy="4000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view="pageBreakPreview" zoomScale="90" zoomScaleSheetLayoutView="90" workbookViewId="0" topLeftCell="A1">
      <selection activeCell="A37" sqref="A37"/>
    </sheetView>
  </sheetViews>
  <sheetFormatPr defaultColWidth="12.57421875" defaultRowHeight="12.75"/>
  <cols>
    <col min="1" max="1" width="9.140625" style="1" customWidth="1"/>
    <col min="2" max="2" width="12.8515625" style="1" customWidth="1"/>
    <col min="3" max="3" width="22.8515625" style="1" customWidth="1"/>
    <col min="4" max="4" width="10.00390625" style="1" customWidth="1"/>
    <col min="5" max="5" width="14.00390625" style="1" customWidth="1"/>
    <col min="6" max="6" width="22.8515625" style="1" customWidth="1"/>
    <col min="7" max="7" width="9.140625" style="1" customWidth="1"/>
    <col min="8" max="8" width="12.8515625" style="1" customWidth="1"/>
    <col min="9" max="9" width="22.8515625" style="1" customWidth="1"/>
    <col min="10" max="16384" width="11.57421875" style="0" customWidth="1"/>
  </cols>
  <sheetData>
    <row r="1" spans="1:9" ht="36" customHeight="1">
      <c r="A1" s="2" t="s">
        <v>0</v>
      </c>
      <c r="B1" s="2"/>
      <c r="C1" s="2"/>
      <c r="D1" s="2"/>
      <c r="E1" s="2"/>
      <c r="F1" s="2"/>
      <c r="G1" s="2"/>
      <c r="H1" s="2"/>
      <c r="I1" s="2"/>
    </row>
    <row r="2" spans="1:10" ht="12.75" customHeight="1">
      <c r="A2" s="3" t="s">
        <v>1</v>
      </c>
      <c r="B2" s="3"/>
      <c r="C2" s="4" t="s">
        <v>2</v>
      </c>
      <c r="D2" s="4"/>
      <c r="E2" s="5" t="s">
        <v>3</v>
      </c>
      <c r="F2" s="5" t="s">
        <v>4</v>
      </c>
      <c r="G2" s="5"/>
      <c r="H2" s="5" t="s">
        <v>5</v>
      </c>
      <c r="I2" s="6"/>
      <c r="J2" s="7"/>
    </row>
    <row r="3" spans="1:10" ht="12.75">
      <c r="A3" s="3"/>
      <c r="B3" s="3"/>
      <c r="C3" s="4"/>
      <c r="D3" s="4"/>
      <c r="E3" s="5"/>
      <c r="F3" s="5"/>
      <c r="G3" s="5"/>
      <c r="H3" s="5"/>
      <c r="I3" s="6"/>
      <c r="J3" s="7"/>
    </row>
    <row r="4" spans="1:10" ht="12.75" customHeight="1">
      <c r="A4" s="8" t="s">
        <v>6</v>
      </c>
      <c r="B4" s="8"/>
      <c r="C4" s="9" t="s">
        <v>7</v>
      </c>
      <c r="D4" s="9"/>
      <c r="E4" s="9" t="s">
        <v>8</v>
      </c>
      <c r="F4" s="9" t="s">
        <v>9</v>
      </c>
      <c r="G4" s="9"/>
      <c r="H4" s="9" t="s">
        <v>5</v>
      </c>
      <c r="I4" s="10"/>
      <c r="J4" s="7"/>
    </row>
    <row r="5" spans="1:10" ht="12.75">
      <c r="A5" s="8"/>
      <c r="B5" s="8"/>
      <c r="C5" s="9"/>
      <c r="D5" s="9"/>
      <c r="E5" s="9"/>
      <c r="F5" s="9"/>
      <c r="G5" s="9"/>
      <c r="H5" s="9"/>
      <c r="I5" s="10"/>
      <c r="J5" s="7"/>
    </row>
    <row r="6" spans="1:10" ht="12.75" customHeight="1">
      <c r="A6" s="8" t="s">
        <v>10</v>
      </c>
      <c r="B6" s="8"/>
      <c r="C6" s="9" t="s">
        <v>11</v>
      </c>
      <c r="D6" s="9"/>
      <c r="E6" s="9" t="s">
        <v>12</v>
      </c>
      <c r="F6" s="9" t="s">
        <v>13</v>
      </c>
      <c r="G6" s="9"/>
      <c r="H6" s="9" t="s">
        <v>5</v>
      </c>
      <c r="I6" s="10"/>
      <c r="J6" s="7"/>
    </row>
    <row r="7" spans="1:10" ht="12.75">
      <c r="A7" s="8"/>
      <c r="B7" s="8"/>
      <c r="C7" s="9"/>
      <c r="D7" s="9"/>
      <c r="E7" s="9"/>
      <c r="F7" s="9"/>
      <c r="G7" s="9"/>
      <c r="H7" s="9"/>
      <c r="I7" s="10"/>
      <c r="J7" s="7"/>
    </row>
    <row r="8" spans="1:10" ht="12.75" customHeight="1">
      <c r="A8" s="8" t="s">
        <v>14</v>
      </c>
      <c r="B8" s="8"/>
      <c r="C8" s="11" t="s">
        <v>15</v>
      </c>
      <c r="D8" s="11"/>
      <c r="E8" s="9" t="s">
        <v>16</v>
      </c>
      <c r="F8" s="12"/>
      <c r="G8" s="12"/>
      <c r="H8" s="11" t="s">
        <v>17</v>
      </c>
      <c r="I8" s="10" t="s">
        <v>18</v>
      </c>
      <c r="J8" s="7"/>
    </row>
    <row r="9" spans="1:10" ht="12.75">
      <c r="A9" s="8"/>
      <c r="B9" s="8"/>
      <c r="C9" s="11"/>
      <c r="D9" s="11"/>
      <c r="E9" s="9"/>
      <c r="F9" s="9"/>
      <c r="G9" s="12"/>
      <c r="H9" s="11"/>
      <c r="I9" s="10"/>
      <c r="J9" s="7"/>
    </row>
    <row r="10" spans="1:10" ht="12.75" customHeight="1">
      <c r="A10" s="13" t="s">
        <v>19</v>
      </c>
      <c r="B10" s="13"/>
      <c r="C10" s="14">
        <v>8159999</v>
      </c>
      <c r="D10" s="14"/>
      <c r="E10" s="14" t="s">
        <v>20</v>
      </c>
      <c r="F10" s="14" t="s">
        <v>21</v>
      </c>
      <c r="G10" s="14"/>
      <c r="H10" s="15" t="s">
        <v>22</v>
      </c>
      <c r="I10" s="16">
        <v>42597</v>
      </c>
      <c r="J10" s="7"/>
    </row>
    <row r="11" spans="1:10" ht="12.75">
      <c r="A11" s="13"/>
      <c r="B11" s="13"/>
      <c r="C11" s="14"/>
      <c r="D11" s="14"/>
      <c r="E11" s="14"/>
      <c r="F11" s="14"/>
      <c r="G11" s="14"/>
      <c r="H11" s="15"/>
      <c r="I11" s="16"/>
      <c r="J11" s="7"/>
    </row>
    <row r="12" spans="1:9" ht="23.25" customHeight="1">
      <c r="A12" s="17" t="s">
        <v>23</v>
      </c>
      <c r="B12" s="17"/>
      <c r="C12" s="17"/>
      <c r="D12" s="17"/>
      <c r="E12" s="17"/>
      <c r="F12" s="17"/>
      <c r="G12" s="17"/>
      <c r="H12" s="17"/>
      <c r="I12" s="17"/>
    </row>
    <row r="13" spans="1:10" ht="26.25" customHeight="1">
      <c r="A13" s="18" t="s">
        <v>24</v>
      </c>
      <c r="B13" s="19" t="s">
        <v>25</v>
      </c>
      <c r="C13" s="19"/>
      <c r="D13" s="18" t="s">
        <v>26</v>
      </c>
      <c r="E13" s="19" t="s">
        <v>27</v>
      </c>
      <c r="F13" s="19"/>
      <c r="G13" s="18" t="s">
        <v>28</v>
      </c>
      <c r="H13" s="19" t="s">
        <v>29</v>
      </c>
      <c r="I13" s="19"/>
      <c r="J13" s="7"/>
    </row>
    <row r="14" spans="1:10" ht="15" customHeight="1">
      <c r="A14" s="20" t="s">
        <v>30</v>
      </c>
      <c r="B14" s="21" t="s">
        <v>31</v>
      </c>
      <c r="C14" s="22">
        <f>SUM('Stavební rozpočet'!R12:R116)</f>
        <v>0</v>
      </c>
      <c r="D14" s="21" t="s">
        <v>32</v>
      </c>
      <c r="E14" s="21"/>
      <c r="F14" s="22">
        <f>VORN!I15</f>
        <v>0</v>
      </c>
      <c r="G14" s="21" t="s">
        <v>33</v>
      </c>
      <c r="H14" s="21"/>
      <c r="I14" s="22">
        <f>VORN!I21</f>
        <v>0</v>
      </c>
      <c r="J14" s="7"/>
    </row>
    <row r="15" spans="1:10" ht="15" customHeight="1">
      <c r="A15" s="23"/>
      <c r="B15" s="21" t="s">
        <v>34</v>
      </c>
      <c r="C15" s="22">
        <f>SUM('Stavební rozpočet'!S12:S116)</f>
        <v>0</v>
      </c>
      <c r="D15" s="21" t="s">
        <v>35</v>
      </c>
      <c r="E15" s="21"/>
      <c r="F15" s="22">
        <f>VORN!I16</f>
        <v>0</v>
      </c>
      <c r="G15" s="21" t="s">
        <v>36</v>
      </c>
      <c r="H15" s="21"/>
      <c r="I15" s="22">
        <f>VORN!I22</f>
        <v>0</v>
      </c>
      <c r="J15" s="7"/>
    </row>
    <row r="16" spans="1:10" ht="15" customHeight="1">
      <c r="A16" s="20" t="s">
        <v>37</v>
      </c>
      <c r="B16" s="21" t="s">
        <v>31</v>
      </c>
      <c r="C16" s="22">
        <f>SUM('Stavební rozpočet'!T12:T116)</f>
        <v>0</v>
      </c>
      <c r="D16" s="21" t="s">
        <v>38</v>
      </c>
      <c r="E16" s="21"/>
      <c r="F16" s="22">
        <f>VORN!I17</f>
        <v>0</v>
      </c>
      <c r="G16" s="21" t="s">
        <v>39</v>
      </c>
      <c r="H16" s="21"/>
      <c r="I16" s="22">
        <f>VORN!I23</f>
        <v>0</v>
      </c>
      <c r="J16" s="7"/>
    </row>
    <row r="17" spans="1:10" ht="15" customHeight="1">
      <c r="A17" s="23"/>
      <c r="B17" s="21" t="s">
        <v>34</v>
      </c>
      <c r="C17" s="22">
        <f>SUM('Stavební rozpočet'!U12:U116)</f>
        <v>0</v>
      </c>
      <c r="D17" s="21"/>
      <c r="E17" s="21"/>
      <c r="F17" s="24"/>
      <c r="G17" s="21" t="s">
        <v>40</v>
      </c>
      <c r="H17" s="21"/>
      <c r="I17" s="22">
        <f>VORN!I24</f>
        <v>0</v>
      </c>
      <c r="J17" s="7"/>
    </row>
    <row r="18" spans="1:10" ht="15" customHeight="1">
      <c r="A18" s="20" t="s">
        <v>41</v>
      </c>
      <c r="B18" s="21" t="s">
        <v>31</v>
      </c>
      <c r="C18" s="22">
        <f>SUM('Stavební rozpočet'!V12:V116)</f>
        <v>0</v>
      </c>
      <c r="D18" s="21"/>
      <c r="E18" s="21"/>
      <c r="F18" s="24"/>
      <c r="G18" s="21" t="s">
        <v>42</v>
      </c>
      <c r="H18" s="21"/>
      <c r="I18" s="22">
        <f>VORN!I25</f>
        <v>0</v>
      </c>
      <c r="J18" s="7"/>
    </row>
    <row r="19" spans="1:10" ht="15" customHeight="1">
      <c r="A19" s="23"/>
      <c r="B19" s="21" t="s">
        <v>34</v>
      </c>
      <c r="C19" s="22">
        <f>SUM('Stavební rozpočet'!W12:W116)</f>
        <v>0</v>
      </c>
      <c r="D19" s="21"/>
      <c r="E19" s="21"/>
      <c r="F19" s="24"/>
      <c r="G19" s="21" t="s">
        <v>43</v>
      </c>
      <c r="H19" s="21"/>
      <c r="I19" s="22">
        <f>VORN!I26</f>
        <v>0</v>
      </c>
      <c r="J19" s="7"/>
    </row>
    <row r="20" spans="1:10" ht="15" customHeight="1">
      <c r="A20" s="25" t="s">
        <v>44</v>
      </c>
      <c r="B20" s="25"/>
      <c r="C20" s="22">
        <f>SUM('Stavební rozpočet'!X12:X116)</f>
        <v>0</v>
      </c>
      <c r="D20" s="21"/>
      <c r="E20" s="21"/>
      <c r="F20" s="24"/>
      <c r="G20" s="21"/>
      <c r="H20" s="21"/>
      <c r="I20" s="24"/>
      <c r="J20" s="7"/>
    </row>
    <row r="21" spans="1:10" ht="15" customHeight="1">
      <c r="A21" s="25" t="s">
        <v>45</v>
      </c>
      <c r="B21" s="25"/>
      <c r="C21" s="22">
        <f>SUM('Stavební rozpočet'!P12:P116)</f>
        <v>0</v>
      </c>
      <c r="D21" s="21"/>
      <c r="E21" s="21"/>
      <c r="F21" s="24"/>
      <c r="G21" s="21"/>
      <c r="H21" s="21"/>
      <c r="I21" s="24"/>
      <c r="J21" s="7"/>
    </row>
    <row r="22" spans="1:10" ht="16.5" customHeight="1">
      <c r="A22" s="25" t="s">
        <v>46</v>
      </c>
      <c r="B22" s="25"/>
      <c r="C22" s="22">
        <f>SUM(C14:C21)</f>
        <v>0</v>
      </c>
      <c r="D22" s="25" t="s">
        <v>47</v>
      </c>
      <c r="E22" s="25"/>
      <c r="F22" s="22">
        <f>SUM(F14:F21)</f>
        <v>0</v>
      </c>
      <c r="G22" s="25" t="s">
        <v>48</v>
      </c>
      <c r="H22" s="25"/>
      <c r="I22" s="22">
        <f>SUM(I14:I21)</f>
        <v>0</v>
      </c>
      <c r="J22" s="7"/>
    </row>
    <row r="23" spans="1:10" ht="15" customHeight="1">
      <c r="A23" s="26"/>
      <c r="B23" s="26"/>
      <c r="C23" s="27"/>
      <c r="D23" s="25" t="s">
        <v>49</v>
      </c>
      <c r="E23" s="25"/>
      <c r="F23" s="28">
        <v>0</v>
      </c>
      <c r="G23" s="25" t="s">
        <v>50</v>
      </c>
      <c r="H23" s="25"/>
      <c r="I23" s="22">
        <v>0</v>
      </c>
      <c r="J23" s="7"/>
    </row>
    <row r="24" spans="4:10" ht="15" customHeight="1">
      <c r="D24" s="26"/>
      <c r="E24" s="26"/>
      <c r="F24" s="29"/>
      <c r="G24" s="25" t="s">
        <v>51</v>
      </c>
      <c r="H24" s="25"/>
      <c r="I24" s="22">
        <f>vorn_sum</f>
        <v>0</v>
      </c>
      <c r="J24" s="7"/>
    </row>
    <row r="25" spans="6:10" ht="15" customHeight="1">
      <c r="F25" s="30"/>
      <c r="G25" s="25" t="s">
        <v>52</v>
      </c>
      <c r="H25" s="25"/>
      <c r="I25" s="22">
        <v>0</v>
      </c>
      <c r="J25" s="7"/>
    </row>
    <row r="26" spans="1:9" ht="12.75">
      <c r="A26" s="31"/>
      <c r="B26" s="31"/>
      <c r="C26" s="31"/>
      <c r="G26" s="26"/>
      <c r="H26" s="26"/>
      <c r="I26" s="26"/>
    </row>
    <row r="27" spans="1:9" ht="15" customHeight="1">
      <c r="A27" s="32" t="s">
        <v>53</v>
      </c>
      <c r="B27" s="32"/>
      <c r="C27" s="33">
        <f>SUM('Stavební rozpočet'!Z12:Z116)</f>
        <v>0</v>
      </c>
      <c r="D27" s="34"/>
      <c r="E27" s="31"/>
      <c r="F27" s="31"/>
      <c r="G27" s="31"/>
      <c r="H27" s="31"/>
      <c r="I27" s="31"/>
    </row>
    <row r="28" spans="1:10" ht="15" customHeight="1">
      <c r="A28" s="32" t="s">
        <v>54</v>
      </c>
      <c r="B28" s="32"/>
      <c r="C28" s="33">
        <f>SUM('Stavební rozpočet'!AA12:AA116)</f>
        <v>0</v>
      </c>
      <c r="D28" s="32" t="s">
        <v>55</v>
      </c>
      <c r="E28" s="32"/>
      <c r="F28" s="33">
        <f>ROUND(C28*(15/100),2)</f>
        <v>0</v>
      </c>
      <c r="G28" s="32" t="s">
        <v>56</v>
      </c>
      <c r="H28" s="32"/>
      <c r="I28" s="33">
        <f>SUM(C27:C29)</f>
        <v>0</v>
      </c>
      <c r="J28" s="7"/>
    </row>
    <row r="29" spans="1:10" ht="15" customHeight="1">
      <c r="A29" s="32" t="s">
        <v>57</v>
      </c>
      <c r="B29" s="32"/>
      <c r="C29" s="33">
        <f>SUM('Stavební rozpočet'!AB12:AB116)+(F22+I22+F23+I23+I24+I25)</f>
        <v>0</v>
      </c>
      <c r="D29" s="32" t="s">
        <v>58</v>
      </c>
      <c r="E29" s="32"/>
      <c r="F29" s="33">
        <f>ROUND(C29*(21/100),2)</f>
        <v>0</v>
      </c>
      <c r="G29" s="32" t="s">
        <v>59</v>
      </c>
      <c r="H29" s="32"/>
      <c r="I29" s="33">
        <f>SUM(F28:F29)+I28</f>
        <v>0</v>
      </c>
      <c r="J29" s="7"/>
    </row>
    <row r="30" spans="1:9" ht="12.75">
      <c r="A30" s="35"/>
      <c r="B30" s="35"/>
      <c r="C30" s="35"/>
      <c r="D30" s="35"/>
      <c r="E30" s="35"/>
      <c r="F30" s="35"/>
      <c r="G30" s="35"/>
      <c r="H30" s="35"/>
      <c r="I30" s="35"/>
    </row>
    <row r="31" spans="1:10" ht="14.25" customHeight="1">
      <c r="A31" s="36" t="s">
        <v>60</v>
      </c>
      <c r="B31" s="36"/>
      <c r="C31" s="36"/>
      <c r="D31" s="36" t="s">
        <v>61</v>
      </c>
      <c r="E31" s="36"/>
      <c r="F31" s="36"/>
      <c r="G31" s="36" t="s">
        <v>62</v>
      </c>
      <c r="H31" s="36"/>
      <c r="I31" s="36"/>
      <c r="J31" s="37"/>
    </row>
    <row r="32" spans="1:10" ht="14.25" customHeight="1">
      <c r="A32" s="38"/>
      <c r="B32" s="38"/>
      <c r="C32" s="38"/>
      <c r="D32" s="38"/>
      <c r="E32" s="38"/>
      <c r="F32" s="38"/>
      <c r="G32" s="38"/>
      <c r="H32" s="38"/>
      <c r="I32" s="38"/>
      <c r="J32" s="37"/>
    </row>
    <row r="33" spans="1:10" ht="14.25" customHeight="1">
      <c r="A33" s="38"/>
      <c r="B33" s="38"/>
      <c r="C33" s="38"/>
      <c r="D33" s="38"/>
      <c r="E33" s="38"/>
      <c r="F33" s="38"/>
      <c r="G33" s="38"/>
      <c r="H33" s="38"/>
      <c r="I33" s="38"/>
      <c r="J33" s="37"/>
    </row>
    <row r="34" spans="1:10" ht="14.25" customHeight="1">
      <c r="A34" s="38"/>
      <c r="B34" s="38"/>
      <c r="C34" s="38"/>
      <c r="D34" s="38"/>
      <c r="E34" s="38"/>
      <c r="F34" s="38"/>
      <c r="G34" s="38"/>
      <c r="H34" s="38"/>
      <c r="I34" s="38"/>
      <c r="J34" s="37"/>
    </row>
    <row r="35" spans="1:10" ht="14.25" customHeight="1">
      <c r="A35" s="39" t="s">
        <v>63</v>
      </c>
      <c r="B35" s="39"/>
      <c r="C35" s="39"/>
      <c r="D35" s="39" t="s">
        <v>63</v>
      </c>
      <c r="E35" s="39"/>
      <c r="F35" s="39"/>
      <c r="G35" s="39" t="s">
        <v>63</v>
      </c>
      <c r="H35" s="39"/>
      <c r="I35" s="39"/>
      <c r="J35" s="37"/>
    </row>
    <row r="36" spans="1:9" ht="11.25" customHeight="1">
      <c r="A36" s="40" t="s">
        <v>64</v>
      </c>
      <c r="B36" s="41"/>
      <c r="C36" s="41"/>
      <c r="D36" s="41"/>
      <c r="E36" s="41"/>
      <c r="F36" s="41"/>
      <c r="G36" s="41"/>
      <c r="H36" s="41"/>
      <c r="I36" s="41"/>
    </row>
    <row r="37" spans="1:9" ht="89.25" customHeight="1">
      <c r="A37" s="9" t="s">
        <v>65</v>
      </c>
      <c r="B37" s="9"/>
      <c r="C37" s="9"/>
      <c r="D37" s="9"/>
      <c r="E37" s="9"/>
      <c r="F37" s="9"/>
      <c r="G37" s="9"/>
      <c r="H37" s="9"/>
      <c r="I37" s="9"/>
    </row>
  </sheetData>
  <mergeCells count="83">
    <mergeCell ref="A1:I1"/>
    <mergeCell ref="A2:B3"/>
    <mergeCell ref="C2:D3"/>
    <mergeCell ref="E2:E3"/>
    <mergeCell ref="F2:G3"/>
    <mergeCell ref="H2:H3"/>
    <mergeCell ref="I2:I3"/>
    <mergeCell ref="A4:B5"/>
    <mergeCell ref="C4:D5"/>
    <mergeCell ref="E4:E5"/>
    <mergeCell ref="F4:G5"/>
    <mergeCell ref="H4:H5"/>
    <mergeCell ref="I4:I5"/>
    <mergeCell ref="A6:B7"/>
    <mergeCell ref="C6:D7"/>
    <mergeCell ref="E6:E7"/>
    <mergeCell ref="F6:G7"/>
    <mergeCell ref="H6:H7"/>
    <mergeCell ref="I6:I7"/>
    <mergeCell ref="A8:B9"/>
    <mergeCell ref="C8:D9"/>
    <mergeCell ref="E8:E9"/>
    <mergeCell ref="F8:G9"/>
    <mergeCell ref="H8:H9"/>
    <mergeCell ref="I8:I9"/>
    <mergeCell ref="A10:B11"/>
    <mergeCell ref="C10:D11"/>
    <mergeCell ref="E10:E11"/>
    <mergeCell ref="F10:G11"/>
    <mergeCell ref="H10:H11"/>
    <mergeCell ref="I10:I11"/>
    <mergeCell ref="A12:I12"/>
    <mergeCell ref="B13:C13"/>
    <mergeCell ref="E13:F13"/>
    <mergeCell ref="H13:I13"/>
    <mergeCell ref="D14:E14"/>
    <mergeCell ref="G14:H14"/>
    <mergeCell ref="D15:E15"/>
    <mergeCell ref="G15:H15"/>
    <mergeCell ref="D16:E16"/>
    <mergeCell ref="G16:H16"/>
    <mergeCell ref="D17:E17"/>
    <mergeCell ref="G17:H17"/>
    <mergeCell ref="D18:E18"/>
    <mergeCell ref="G18:H18"/>
    <mergeCell ref="D19:E19"/>
    <mergeCell ref="G19:H19"/>
    <mergeCell ref="A20:B20"/>
    <mergeCell ref="D20:E20"/>
    <mergeCell ref="G20:H20"/>
    <mergeCell ref="A21:B21"/>
    <mergeCell ref="D21:E21"/>
    <mergeCell ref="G21:H21"/>
    <mergeCell ref="A22:B22"/>
    <mergeCell ref="D22:E22"/>
    <mergeCell ref="G22:H22"/>
    <mergeCell ref="D23:E23"/>
    <mergeCell ref="G23:H23"/>
    <mergeCell ref="G24:H24"/>
    <mergeCell ref="G25:H25"/>
    <mergeCell ref="A27:B27"/>
    <mergeCell ref="A28:B28"/>
    <mergeCell ref="D28:E28"/>
    <mergeCell ref="G28:H28"/>
    <mergeCell ref="A29:B29"/>
    <mergeCell ref="D29:E29"/>
    <mergeCell ref="G29:H29"/>
    <mergeCell ref="A31:C31"/>
    <mergeCell ref="D31:F31"/>
    <mergeCell ref="G31:I31"/>
    <mergeCell ref="A32:C32"/>
    <mergeCell ref="D32:F32"/>
    <mergeCell ref="G32:I32"/>
    <mergeCell ref="A33:C33"/>
    <mergeCell ref="D33:F33"/>
    <mergeCell ref="G33:I33"/>
    <mergeCell ref="A34:C34"/>
    <mergeCell ref="D34:F34"/>
    <mergeCell ref="G34:I34"/>
    <mergeCell ref="A35:C35"/>
    <mergeCell ref="D35:F35"/>
    <mergeCell ref="G35:I35"/>
    <mergeCell ref="A37:I37"/>
  </mergeCells>
  <printOptions/>
  <pageMargins left="0.39375" right="0.39375" top="0.5909722222222222" bottom="0.5909722222222222" header="0.5118055555555555" footer="0.5118055555555555"/>
  <pageSetup fitToHeight="1" fitToWidth="1"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K37"/>
  <sheetViews>
    <sheetView view="pageBreakPreview" zoomScale="90" zoomScaleSheetLayoutView="90" workbookViewId="0" topLeftCell="A1">
      <selection activeCell="I38" sqref="I38"/>
    </sheetView>
  </sheetViews>
  <sheetFormatPr defaultColWidth="12.57421875" defaultRowHeight="12.75"/>
  <cols>
    <col min="1" max="1" width="9.140625" style="1" customWidth="1"/>
    <col min="2" max="2" width="12.8515625" style="1" customWidth="1"/>
    <col min="3" max="3" width="22.8515625" style="1" customWidth="1"/>
    <col min="4" max="4" width="10.00390625" style="1" customWidth="1"/>
    <col min="5" max="5" width="14.00390625" style="1" customWidth="1"/>
    <col min="6" max="6" width="22.8515625" style="1" customWidth="1"/>
    <col min="7" max="7" width="9.140625" style="1" customWidth="1"/>
    <col min="8" max="8" width="17.140625" style="1" customWidth="1"/>
    <col min="9" max="9" width="22.8515625" style="1" customWidth="1"/>
    <col min="10" max="16384" width="11.57421875" style="0" customWidth="1"/>
  </cols>
  <sheetData>
    <row r="1" spans="1:9" ht="43.5" customHeight="1">
      <c r="A1" s="2" t="s">
        <v>66</v>
      </c>
      <c r="B1" s="2"/>
      <c r="C1" s="2"/>
      <c r="D1" s="2"/>
      <c r="E1" s="2"/>
      <c r="F1" s="2"/>
      <c r="G1" s="2"/>
      <c r="H1" s="2"/>
      <c r="I1" s="2"/>
    </row>
    <row r="2" spans="1:10" ht="12.75" customHeight="1">
      <c r="A2" s="3" t="s">
        <v>1</v>
      </c>
      <c r="B2" s="3"/>
      <c r="C2" s="4" t="s">
        <v>2</v>
      </c>
      <c r="D2" s="4"/>
      <c r="E2" s="5" t="s">
        <v>3</v>
      </c>
      <c r="F2" s="5" t="s">
        <v>4</v>
      </c>
      <c r="G2" s="5"/>
      <c r="H2" s="5" t="s">
        <v>5</v>
      </c>
      <c r="I2" s="6"/>
      <c r="J2" s="7"/>
    </row>
    <row r="3" spans="1:10" ht="12.75">
      <c r="A3" s="3"/>
      <c r="B3" s="3"/>
      <c r="C3" s="4"/>
      <c r="D3" s="4"/>
      <c r="E3" s="5"/>
      <c r="F3" s="5"/>
      <c r="G3" s="5"/>
      <c r="H3" s="5"/>
      <c r="I3" s="6"/>
      <c r="J3" s="7"/>
    </row>
    <row r="4" spans="1:10" ht="12.75" customHeight="1">
      <c r="A4" s="8" t="s">
        <v>6</v>
      </c>
      <c r="B4" s="8"/>
      <c r="C4" s="9" t="s">
        <v>7</v>
      </c>
      <c r="D4" s="9"/>
      <c r="E4" s="9" t="s">
        <v>8</v>
      </c>
      <c r="F4" s="9" t="s">
        <v>9</v>
      </c>
      <c r="G4" s="9"/>
      <c r="H4" s="9" t="s">
        <v>5</v>
      </c>
      <c r="I4" s="10"/>
      <c r="J4" s="7"/>
    </row>
    <row r="5" spans="1:10" ht="12.75">
      <c r="A5" s="8"/>
      <c r="B5" s="8"/>
      <c r="C5" s="9"/>
      <c r="D5" s="9"/>
      <c r="E5" s="9"/>
      <c r="F5" s="9"/>
      <c r="G5" s="9"/>
      <c r="H5" s="9"/>
      <c r="I5" s="10"/>
      <c r="J5" s="7"/>
    </row>
    <row r="6" spans="1:10" ht="12.75" customHeight="1">
      <c r="A6" s="8" t="s">
        <v>10</v>
      </c>
      <c r="B6" s="8"/>
      <c r="C6" s="9" t="s">
        <v>11</v>
      </c>
      <c r="D6" s="9"/>
      <c r="E6" s="9" t="s">
        <v>12</v>
      </c>
      <c r="F6" s="9" t="s">
        <v>13</v>
      </c>
      <c r="G6" s="9"/>
      <c r="H6" s="9" t="s">
        <v>5</v>
      </c>
      <c r="I6" s="10"/>
      <c r="J6" s="7"/>
    </row>
    <row r="7" spans="1:10" ht="12.75">
      <c r="A7" s="8"/>
      <c r="B7" s="8"/>
      <c r="C7" s="9"/>
      <c r="D7" s="9"/>
      <c r="E7" s="9"/>
      <c r="F7" s="9"/>
      <c r="G7" s="9"/>
      <c r="H7" s="9"/>
      <c r="I7" s="10"/>
      <c r="J7" s="7"/>
    </row>
    <row r="8" spans="1:10" ht="12.75" customHeight="1">
      <c r="A8" s="8" t="s">
        <v>14</v>
      </c>
      <c r="B8" s="8"/>
      <c r="C8" s="11" t="s">
        <v>15</v>
      </c>
      <c r="D8" s="11"/>
      <c r="E8" s="9" t="s">
        <v>16</v>
      </c>
      <c r="F8" s="12"/>
      <c r="G8" s="12"/>
      <c r="H8" s="11" t="s">
        <v>17</v>
      </c>
      <c r="I8" s="10" t="s">
        <v>18</v>
      </c>
      <c r="J8" s="7"/>
    </row>
    <row r="9" spans="1:10" ht="12.75">
      <c r="A9" s="8"/>
      <c r="B9" s="8"/>
      <c r="C9" s="11"/>
      <c r="D9" s="11"/>
      <c r="E9" s="9"/>
      <c r="F9" s="9"/>
      <c r="G9" s="12"/>
      <c r="H9" s="11"/>
      <c r="I9" s="10"/>
      <c r="J9" s="7"/>
    </row>
    <row r="10" spans="1:10" ht="12.75" customHeight="1">
      <c r="A10" s="13" t="s">
        <v>19</v>
      </c>
      <c r="B10" s="13"/>
      <c r="C10" s="14">
        <v>8159999</v>
      </c>
      <c r="D10" s="14"/>
      <c r="E10" s="14" t="s">
        <v>20</v>
      </c>
      <c r="F10" s="14" t="s">
        <v>21</v>
      </c>
      <c r="G10" s="14"/>
      <c r="H10" s="15" t="s">
        <v>22</v>
      </c>
      <c r="I10" s="16">
        <v>42597</v>
      </c>
      <c r="J10" s="42"/>
    </row>
    <row r="11" spans="1:10" ht="12.75">
      <c r="A11" s="13"/>
      <c r="B11" s="13"/>
      <c r="C11" s="14"/>
      <c r="D11" s="14"/>
      <c r="E11" s="14"/>
      <c r="F11" s="14"/>
      <c r="G11" s="14"/>
      <c r="H11" s="15"/>
      <c r="I11" s="16"/>
      <c r="J11" s="43"/>
    </row>
    <row r="12" spans="1:9" ht="12.75">
      <c r="A12" s="26"/>
      <c r="B12" s="26"/>
      <c r="C12" s="26"/>
      <c r="D12" s="26"/>
      <c r="E12" s="26"/>
      <c r="F12" s="26"/>
      <c r="G12" s="26"/>
      <c r="H12" s="26"/>
      <c r="I12" s="26"/>
    </row>
    <row r="13" spans="1:9" ht="15" customHeight="1">
      <c r="A13" s="44" t="s">
        <v>67</v>
      </c>
      <c r="B13" s="44"/>
      <c r="C13" s="44"/>
      <c r="D13" s="44"/>
      <c r="E13" s="44"/>
      <c r="F13" s="45"/>
      <c r="G13" s="45"/>
      <c r="H13" s="45"/>
      <c r="I13" s="45"/>
    </row>
    <row r="14" spans="1:11" ht="12.75">
      <c r="A14" s="46" t="s">
        <v>68</v>
      </c>
      <c r="B14" s="46"/>
      <c r="C14" s="46"/>
      <c r="D14" s="46"/>
      <c r="E14" s="46"/>
      <c r="F14" s="47" t="s">
        <v>69</v>
      </c>
      <c r="G14" s="47" t="s">
        <v>70</v>
      </c>
      <c r="H14" s="47" t="s">
        <v>71</v>
      </c>
      <c r="I14" s="47" t="s">
        <v>69</v>
      </c>
      <c r="J14" s="37"/>
      <c r="K14" s="48"/>
    </row>
    <row r="15" spans="1:10" ht="12.75">
      <c r="A15" s="49" t="s">
        <v>32</v>
      </c>
      <c r="B15" s="49"/>
      <c r="C15" s="49"/>
      <c r="D15" s="49"/>
      <c r="E15" s="49"/>
      <c r="F15" s="50">
        <v>0</v>
      </c>
      <c r="G15" s="49"/>
      <c r="H15" s="49"/>
      <c r="I15" s="50">
        <f>F15</f>
        <v>0</v>
      </c>
      <c r="J15" s="7"/>
    </row>
    <row r="16" spans="1:10" ht="12.75">
      <c r="A16" s="49" t="s">
        <v>35</v>
      </c>
      <c r="B16" s="49"/>
      <c r="C16" s="49"/>
      <c r="D16" s="49"/>
      <c r="E16" s="49"/>
      <c r="F16" s="50">
        <v>0</v>
      </c>
      <c r="G16" s="49"/>
      <c r="H16" s="49"/>
      <c r="I16" s="50">
        <f>F16</f>
        <v>0</v>
      </c>
      <c r="J16" s="7"/>
    </row>
    <row r="17" spans="1:10" ht="12.75">
      <c r="A17" s="51" t="s">
        <v>38</v>
      </c>
      <c r="B17" s="51"/>
      <c r="C17" s="51"/>
      <c r="D17" s="51"/>
      <c r="E17" s="51"/>
      <c r="F17" s="52">
        <v>0</v>
      </c>
      <c r="G17" s="51"/>
      <c r="H17" s="51"/>
      <c r="I17" s="52">
        <f>F17</f>
        <v>0</v>
      </c>
      <c r="J17" s="7"/>
    </row>
    <row r="18" spans="1:10" ht="12.75">
      <c r="A18" s="53" t="s">
        <v>72</v>
      </c>
      <c r="B18" s="53"/>
      <c r="C18" s="53"/>
      <c r="D18" s="53"/>
      <c r="E18" s="53"/>
      <c r="F18" s="53"/>
      <c r="G18" s="54"/>
      <c r="H18" s="54"/>
      <c r="I18" s="55">
        <f>SUM(I15:I17)</f>
        <v>0</v>
      </c>
      <c r="J18" s="37"/>
    </row>
    <row r="19" spans="1:9" ht="12.75">
      <c r="A19" s="56"/>
      <c r="B19" s="56"/>
      <c r="C19" s="56"/>
      <c r="D19" s="56"/>
      <c r="E19" s="56"/>
      <c r="F19" s="56"/>
      <c r="G19" s="56"/>
      <c r="H19" s="56"/>
      <c r="I19" s="56"/>
    </row>
    <row r="20" spans="1:10" ht="12.75">
      <c r="A20" s="46" t="s">
        <v>29</v>
      </c>
      <c r="B20" s="46"/>
      <c r="C20" s="46"/>
      <c r="D20" s="46"/>
      <c r="E20" s="46"/>
      <c r="F20" s="47" t="s">
        <v>69</v>
      </c>
      <c r="G20" s="47" t="s">
        <v>70</v>
      </c>
      <c r="H20" s="47" t="s">
        <v>71</v>
      </c>
      <c r="I20" s="47" t="s">
        <v>69</v>
      </c>
      <c r="J20" s="37"/>
    </row>
    <row r="21" spans="1:10" ht="12.75">
      <c r="A21" s="49" t="s">
        <v>33</v>
      </c>
      <c r="B21" s="49"/>
      <c r="C21" s="49"/>
      <c r="D21" s="49"/>
      <c r="E21" s="49"/>
      <c r="F21" s="49"/>
      <c r="G21" s="50">
        <v>1.4</v>
      </c>
      <c r="H21" s="50">
        <f>'Krycí list rozpočtu'!C22</f>
        <v>0</v>
      </c>
      <c r="I21" s="50">
        <f>(G21/100)*H21</f>
        <v>0</v>
      </c>
      <c r="J21" s="7"/>
    </row>
    <row r="22" spans="1:10" ht="12.75">
      <c r="A22" s="49" t="s">
        <v>36</v>
      </c>
      <c r="B22" s="49"/>
      <c r="C22" s="49"/>
      <c r="D22" s="49"/>
      <c r="E22" s="49"/>
      <c r="F22" s="50">
        <v>0</v>
      </c>
      <c r="G22" s="49"/>
      <c r="H22" s="49"/>
      <c r="I22" s="50">
        <f>F22</f>
        <v>0</v>
      </c>
      <c r="J22" s="7"/>
    </row>
    <row r="23" spans="1:10" ht="12.75">
      <c r="A23" s="49" t="s">
        <v>39</v>
      </c>
      <c r="B23" s="49"/>
      <c r="C23" s="49"/>
      <c r="D23" s="49"/>
      <c r="E23" s="49"/>
      <c r="F23" s="50">
        <v>0</v>
      </c>
      <c r="G23" s="49"/>
      <c r="H23" s="49"/>
      <c r="I23" s="50">
        <f>F23</f>
        <v>0</v>
      </c>
      <c r="J23" s="7"/>
    </row>
    <row r="24" spans="1:10" ht="12.75">
      <c r="A24" s="49" t="s">
        <v>40</v>
      </c>
      <c r="B24" s="49"/>
      <c r="C24" s="49"/>
      <c r="D24" s="49"/>
      <c r="E24" s="49"/>
      <c r="F24" s="50">
        <v>0</v>
      </c>
      <c r="G24" s="49"/>
      <c r="H24" s="49"/>
      <c r="I24" s="50">
        <f>F24</f>
        <v>0</v>
      </c>
      <c r="J24" s="7"/>
    </row>
    <row r="25" spans="1:10" ht="12.75">
      <c r="A25" s="49" t="s">
        <v>42</v>
      </c>
      <c r="B25" s="49"/>
      <c r="C25" s="49"/>
      <c r="D25" s="49"/>
      <c r="E25" s="49"/>
      <c r="F25" s="50">
        <v>0</v>
      </c>
      <c r="G25" s="49"/>
      <c r="H25" s="49"/>
      <c r="I25" s="50">
        <f>F25</f>
        <v>0</v>
      </c>
      <c r="J25" s="7"/>
    </row>
    <row r="26" spans="1:10" ht="12.75">
      <c r="A26" s="51" t="s">
        <v>43</v>
      </c>
      <c r="B26" s="51"/>
      <c r="C26" s="51"/>
      <c r="D26" s="51"/>
      <c r="E26" s="51"/>
      <c r="F26" s="52">
        <v>0</v>
      </c>
      <c r="G26" s="51"/>
      <c r="H26" s="51"/>
      <c r="I26" s="52">
        <f>F26</f>
        <v>0</v>
      </c>
      <c r="J26" s="7"/>
    </row>
    <row r="27" spans="1:10" ht="12.75">
      <c r="A27" s="53" t="s">
        <v>73</v>
      </c>
      <c r="B27" s="53"/>
      <c r="C27" s="53"/>
      <c r="D27" s="53"/>
      <c r="E27" s="53"/>
      <c r="F27" s="53"/>
      <c r="G27" s="54"/>
      <c r="H27" s="54"/>
      <c r="I27" s="55">
        <f>SUM(I21:I26)</f>
        <v>0</v>
      </c>
      <c r="J27" s="37"/>
    </row>
    <row r="28" spans="1:9" ht="12.75">
      <c r="A28" s="56"/>
      <c r="B28" s="56"/>
      <c r="C28" s="56"/>
      <c r="D28" s="56"/>
      <c r="E28" s="56"/>
      <c r="F28" s="56"/>
      <c r="G28" s="56"/>
      <c r="H28" s="56"/>
      <c r="I28" s="56"/>
    </row>
    <row r="29" spans="1:10" ht="15" customHeight="1">
      <c r="A29" s="57" t="s">
        <v>74</v>
      </c>
      <c r="B29" s="57"/>
      <c r="C29" s="57"/>
      <c r="D29" s="57"/>
      <c r="E29" s="57"/>
      <c r="F29" s="58">
        <f>I18+I27</f>
        <v>0</v>
      </c>
      <c r="G29" s="58"/>
      <c r="H29" s="58"/>
      <c r="I29" s="58"/>
      <c r="J29" s="37"/>
    </row>
    <row r="30" spans="1:9" ht="12.75">
      <c r="A30" s="41"/>
      <c r="B30" s="41"/>
      <c r="C30" s="41"/>
      <c r="D30" s="41"/>
      <c r="E30" s="41"/>
      <c r="F30" s="41"/>
      <c r="G30" s="41"/>
      <c r="H30" s="41"/>
      <c r="I30" s="41"/>
    </row>
    <row r="33" spans="1:9" ht="15" customHeight="1">
      <c r="A33" s="44" t="s">
        <v>75</v>
      </c>
      <c r="B33" s="44"/>
      <c r="C33" s="44"/>
      <c r="D33" s="44"/>
      <c r="E33" s="44"/>
      <c r="F33" s="45"/>
      <c r="G33" s="45"/>
      <c r="H33" s="45"/>
      <c r="I33" s="45"/>
    </row>
    <row r="34" spans="1:10" ht="12.75">
      <c r="A34" s="46" t="s">
        <v>76</v>
      </c>
      <c r="B34" s="46"/>
      <c r="C34" s="46"/>
      <c r="D34" s="46"/>
      <c r="E34" s="46"/>
      <c r="F34" s="47" t="s">
        <v>69</v>
      </c>
      <c r="G34" s="47" t="s">
        <v>70</v>
      </c>
      <c r="H34" s="47" t="s">
        <v>71</v>
      </c>
      <c r="I34" s="47" t="s">
        <v>69</v>
      </c>
      <c r="J34" s="37"/>
    </row>
    <row r="35" spans="1:10" ht="12.75">
      <c r="A35" s="51" t="s">
        <v>77</v>
      </c>
      <c r="B35" s="51"/>
      <c r="C35" s="51"/>
      <c r="D35" s="51"/>
      <c r="E35" s="51"/>
      <c r="F35" s="52">
        <v>6000</v>
      </c>
      <c r="G35" s="51"/>
      <c r="H35" s="51"/>
      <c r="I35" s="52">
        <v>0</v>
      </c>
      <c r="J35" s="7"/>
    </row>
    <row r="36" spans="1:10" ht="12.75">
      <c r="A36" s="53" t="s">
        <v>78</v>
      </c>
      <c r="B36" s="53"/>
      <c r="C36" s="53"/>
      <c r="D36" s="53"/>
      <c r="E36" s="53"/>
      <c r="F36" s="53"/>
      <c r="G36" s="54"/>
      <c r="H36" s="54"/>
      <c r="I36" s="55">
        <f>SUM(I35:I35)</f>
        <v>0</v>
      </c>
      <c r="J36" s="37"/>
    </row>
    <row r="37" spans="1:9" ht="12.75">
      <c r="A37" s="41"/>
      <c r="B37" s="41"/>
      <c r="C37" s="41"/>
      <c r="D37" s="41"/>
      <c r="E37" s="41"/>
      <c r="F37" s="41"/>
      <c r="G37" s="41"/>
      <c r="H37" s="41"/>
      <c r="I37" s="41"/>
    </row>
  </sheetData>
  <mergeCells count="51">
    <mergeCell ref="A1:I1"/>
    <mergeCell ref="A2:B3"/>
    <mergeCell ref="C2:D3"/>
    <mergeCell ref="E2:E3"/>
    <mergeCell ref="F2:G3"/>
    <mergeCell ref="H2:H3"/>
    <mergeCell ref="I2:I3"/>
    <mergeCell ref="A4:B5"/>
    <mergeCell ref="C4:D5"/>
    <mergeCell ref="E4:E5"/>
    <mergeCell ref="F4:G5"/>
    <mergeCell ref="H4:H5"/>
    <mergeCell ref="I4:I5"/>
    <mergeCell ref="A6:B7"/>
    <mergeCell ref="C6:D7"/>
    <mergeCell ref="E6:E7"/>
    <mergeCell ref="F6:G7"/>
    <mergeCell ref="H6:H7"/>
    <mergeCell ref="I6:I7"/>
    <mergeCell ref="A8:B9"/>
    <mergeCell ref="C8:D9"/>
    <mergeCell ref="E8:E9"/>
    <mergeCell ref="F8:G9"/>
    <mergeCell ref="H8:H9"/>
    <mergeCell ref="I8:I9"/>
    <mergeCell ref="A10:B11"/>
    <mergeCell ref="C10:D11"/>
    <mergeCell ref="E10:E11"/>
    <mergeCell ref="F10:G11"/>
    <mergeCell ref="H10:H11"/>
    <mergeCell ref="I10:I11"/>
    <mergeCell ref="A13:E13"/>
    <mergeCell ref="A14:E14"/>
    <mergeCell ref="A15:E15"/>
    <mergeCell ref="A16:E16"/>
    <mergeCell ref="A17:E17"/>
    <mergeCell ref="A18:E18"/>
    <mergeCell ref="A20:E20"/>
    <mergeCell ref="A21:E21"/>
    <mergeCell ref="A22:E22"/>
    <mergeCell ref="A23:E23"/>
    <mergeCell ref="A24:E24"/>
    <mergeCell ref="A25:E25"/>
    <mergeCell ref="A26:E26"/>
    <mergeCell ref="A27:E27"/>
    <mergeCell ref="A29:E29"/>
    <mergeCell ref="F29:I29"/>
    <mergeCell ref="A33:E33"/>
    <mergeCell ref="A34:E34"/>
    <mergeCell ref="A35:E35"/>
    <mergeCell ref="A36:E36"/>
  </mergeCells>
  <printOptions/>
  <pageMargins left="0.39375" right="0.39375" top="0.5909722222222222" bottom="0.5909722222222222" header="0.5118055555555555" footer="0.5118055555555555"/>
  <pageSetup fitToHeight="0" fitToWidth="1"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AQ120"/>
  <sheetViews>
    <sheetView tabSelected="1" view="pageBreakPreview" zoomScale="90" zoomScaleSheetLayoutView="90" workbookViewId="0" topLeftCell="A76">
      <selection activeCell="A119" sqref="A119"/>
    </sheetView>
  </sheetViews>
  <sheetFormatPr defaultColWidth="12.57421875" defaultRowHeight="12.75"/>
  <cols>
    <col min="1" max="1" width="3.7109375" style="1" customWidth="1"/>
    <col min="2" max="2" width="6.8515625" style="1" customWidth="1"/>
    <col min="3" max="3" width="13.28125" style="1" customWidth="1"/>
    <col min="4" max="4" width="106.421875" style="1" customWidth="1"/>
    <col min="5" max="5" width="7.00390625" style="1" customWidth="1"/>
    <col min="6" max="6" width="12.8515625" style="1" customWidth="1"/>
    <col min="7" max="7" width="12.00390625" style="1" customWidth="1"/>
    <col min="8" max="9" width="0" style="1" hidden="1" customWidth="1"/>
    <col min="10" max="10" width="14.28125" style="1" customWidth="1"/>
    <col min="11" max="11" width="0" style="1" hidden="1" customWidth="1"/>
    <col min="12" max="13" width="11.7109375" style="1" customWidth="1"/>
    <col min="14" max="47" width="0" style="1" hidden="1" customWidth="1"/>
    <col min="48" max="16384" width="11.57421875" style="0" customWidth="1"/>
  </cols>
  <sheetData>
    <row r="1" spans="1:13" ht="39" customHeight="1">
      <c r="A1" s="59" t="s">
        <v>79</v>
      </c>
      <c r="B1" s="59"/>
      <c r="C1" s="59"/>
      <c r="D1" s="59"/>
      <c r="E1" s="59"/>
      <c r="F1" s="59"/>
      <c r="G1" s="59"/>
      <c r="H1" s="59"/>
      <c r="I1" s="59"/>
      <c r="J1" s="59"/>
      <c r="K1" s="59"/>
      <c r="L1" s="59"/>
      <c r="M1" s="59"/>
    </row>
    <row r="2" spans="1:14" ht="12.75" customHeight="1">
      <c r="A2" s="60" t="s">
        <v>1</v>
      </c>
      <c r="B2" s="60"/>
      <c r="C2" s="60"/>
      <c r="D2" s="61" t="s">
        <v>2</v>
      </c>
      <c r="E2" s="62" t="s">
        <v>3</v>
      </c>
      <c r="F2" s="62"/>
      <c r="G2" s="62"/>
      <c r="H2" s="62"/>
      <c r="I2" s="63" t="s">
        <v>3</v>
      </c>
      <c r="J2" s="64" t="s">
        <v>4</v>
      </c>
      <c r="K2" s="64"/>
      <c r="L2" s="64"/>
      <c r="M2" s="64"/>
      <c r="N2" s="7"/>
    </row>
    <row r="3" spans="1:14" ht="12.75">
      <c r="A3" s="60"/>
      <c r="B3" s="60"/>
      <c r="C3" s="60"/>
      <c r="D3" s="61"/>
      <c r="E3" s="62"/>
      <c r="F3" s="62"/>
      <c r="G3" s="62"/>
      <c r="H3" s="62"/>
      <c r="I3" s="63"/>
      <c r="J3" s="63"/>
      <c r="K3" s="64"/>
      <c r="L3" s="64"/>
      <c r="M3" s="64"/>
      <c r="N3" s="7"/>
    </row>
    <row r="4" spans="1:14" ht="12.75" customHeight="1">
      <c r="A4" s="65" t="s">
        <v>6</v>
      </c>
      <c r="B4" s="65"/>
      <c r="C4" s="65"/>
      <c r="D4" s="66" t="s">
        <v>7</v>
      </c>
      <c r="E4" s="67" t="s">
        <v>8</v>
      </c>
      <c r="F4" s="67"/>
      <c r="G4" s="67" t="s">
        <v>15</v>
      </c>
      <c r="H4" s="67"/>
      <c r="I4" s="66" t="s">
        <v>8</v>
      </c>
      <c r="J4" s="68" t="s">
        <v>9</v>
      </c>
      <c r="K4" s="68"/>
      <c r="L4" s="68"/>
      <c r="M4" s="68"/>
      <c r="N4" s="7"/>
    </row>
    <row r="5" spans="1:14" ht="12.75">
      <c r="A5" s="65"/>
      <c r="B5" s="65"/>
      <c r="C5" s="65"/>
      <c r="D5" s="66"/>
      <c r="E5" s="66"/>
      <c r="F5" s="67"/>
      <c r="G5" s="67"/>
      <c r="H5" s="67"/>
      <c r="I5" s="66"/>
      <c r="J5" s="66"/>
      <c r="K5" s="68"/>
      <c r="L5" s="68"/>
      <c r="M5" s="68"/>
      <c r="N5" s="7"/>
    </row>
    <row r="6" spans="1:14" ht="12.75" customHeight="1">
      <c r="A6" s="65" t="s">
        <v>10</v>
      </c>
      <c r="B6" s="65"/>
      <c r="C6" s="65"/>
      <c r="D6" s="66" t="s">
        <v>11</v>
      </c>
      <c r="E6" s="67" t="s">
        <v>12</v>
      </c>
      <c r="F6" s="67"/>
      <c r="G6" s="69"/>
      <c r="H6" s="69"/>
      <c r="I6" s="66" t="s">
        <v>12</v>
      </c>
      <c r="J6" s="68" t="s">
        <v>13</v>
      </c>
      <c r="K6" s="68"/>
      <c r="L6" s="68"/>
      <c r="M6" s="68"/>
      <c r="N6" s="7"/>
    </row>
    <row r="7" spans="1:14" ht="12.75">
      <c r="A7" s="65"/>
      <c r="B7" s="65"/>
      <c r="C7" s="65"/>
      <c r="D7" s="66"/>
      <c r="E7" s="66"/>
      <c r="F7" s="67"/>
      <c r="G7" s="69"/>
      <c r="H7" s="69"/>
      <c r="I7" s="66"/>
      <c r="J7" s="66"/>
      <c r="K7" s="68"/>
      <c r="L7" s="68"/>
      <c r="M7" s="68"/>
      <c r="N7" s="7"/>
    </row>
    <row r="8" spans="1:14" ht="12.75" customHeight="1">
      <c r="A8" s="70" t="s">
        <v>19</v>
      </c>
      <c r="B8" s="70"/>
      <c r="C8" s="70"/>
      <c r="D8" s="71">
        <v>8159999</v>
      </c>
      <c r="E8" s="72" t="s">
        <v>20</v>
      </c>
      <c r="F8" s="72"/>
      <c r="G8" s="73">
        <v>42597</v>
      </c>
      <c r="H8" s="73"/>
      <c r="I8" s="71" t="s">
        <v>20</v>
      </c>
      <c r="J8" s="74" t="s">
        <v>21</v>
      </c>
      <c r="K8" s="74"/>
      <c r="L8" s="74"/>
      <c r="M8" s="74"/>
      <c r="N8" s="7"/>
    </row>
    <row r="9" spans="1:14" ht="12.75">
      <c r="A9" s="70"/>
      <c r="B9" s="70"/>
      <c r="C9" s="70"/>
      <c r="D9" s="71"/>
      <c r="E9" s="71"/>
      <c r="F9" s="72"/>
      <c r="G9" s="73"/>
      <c r="H9" s="73"/>
      <c r="I9" s="71"/>
      <c r="J9" s="71"/>
      <c r="K9" s="74"/>
      <c r="L9" s="74"/>
      <c r="M9" s="74"/>
      <c r="N9" s="7"/>
    </row>
    <row r="10" spans="1:14" ht="12.75">
      <c r="A10" s="75" t="s">
        <v>80</v>
      </c>
      <c r="B10" s="76" t="s">
        <v>81</v>
      </c>
      <c r="C10" s="76" t="s">
        <v>82</v>
      </c>
      <c r="D10" s="76" t="s">
        <v>83</v>
      </c>
      <c r="E10" s="76" t="s">
        <v>84</v>
      </c>
      <c r="F10" s="77" t="s">
        <v>85</v>
      </c>
      <c r="G10" s="78" t="s">
        <v>86</v>
      </c>
      <c r="H10" s="79" t="s">
        <v>87</v>
      </c>
      <c r="I10" s="79"/>
      <c r="J10" s="79"/>
      <c r="K10" s="79" t="s">
        <v>88</v>
      </c>
      <c r="L10" s="79"/>
      <c r="M10" s="80" t="s">
        <v>89</v>
      </c>
      <c r="N10" s="37"/>
    </row>
    <row r="11" spans="1:24" ht="12.75">
      <c r="A11" s="81" t="s">
        <v>15</v>
      </c>
      <c r="B11" s="82" t="s">
        <v>15</v>
      </c>
      <c r="C11" s="82" t="s">
        <v>15</v>
      </c>
      <c r="D11" s="83" t="s">
        <v>90</v>
      </c>
      <c r="E11" s="82" t="s">
        <v>15</v>
      </c>
      <c r="F11" s="82" t="s">
        <v>15</v>
      </c>
      <c r="G11" s="84" t="s">
        <v>91</v>
      </c>
      <c r="H11" s="85" t="s">
        <v>92</v>
      </c>
      <c r="I11" s="86" t="s">
        <v>34</v>
      </c>
      <c r="J11" s="87" t="s">
        <v>93</v>
      </c>
      <c r="K11" s="85" t="s">
        <v>86</v>
      </c>
      <c r="L11" s="87" t="s">
        <v>93</v>
      </c>
      <c r="M11" s="88" t="s">
        <v>94</v>
      </c>
      <c r="N11" s="37"/>
      <c r="P11" s="89" t="s">
        <v>95</v>
      </c>
      <c r="Q11" s="89" t="s">
        <v>96</v>
      </c>
      <c r="R11" s="89" t="s">
        <v>97</v>
      </c>
      <c r="S11" s="89" t="s">
        <v>98</v>
      </c>
      <c r="T11" s="89" t="s">
        <v>99</v>
      </c>
      <c r="U11" s="89" t="s">
        <v>100</v>
      </c>
      <c r="V11" s="89" t="s">
        <v>101</v>
      </c>
      <c r="W11" s="89" t="s">
        <v>102</v>
      </c>
      <c r="X11" s="89" t="s">
        <v>103</v>
      </c>
    </row>
    <row r="12" spans="1:13" ht="12.75">
      <c r="A12" s="90"/>
      <c r="B12" s="91" t="s">
        <v>104</v>
      </c>
      <c r="C12" s="91"/>
      <c r="D12" s="91" t="s">
        <v>105</v>
      </c>
      <c r="E12" s="91"/>
      <c r="F12" s="91"/>
      <c r="G12" s="91"/>
      <c r="H12" s="92">
        <f>H13+H20+H32+H35+H42+H57+H63+H70+H83+H88+H91+H96+H110</f>
        <v>0</v>
      </c>
      <c r="I12" s="92">
        <f>I13+I20+I32+I35+I42+I57+I63+I70+I83+I88+I91+I96+I110</f>
        <v>0</v>
      </c>
      <c r="J12" s="92">
        <f>H12+I12</f>
        <v>0</v>
      </c>
      <c r="K12" s="93"/>
      <c r="L12" s="92">
        <f>L13+L20+L32+L35+L42+L57+L63+L70+L83+L88+L91+L96+L110</f>
        <v>113.68760978</v>
      </c>
      <c r="M12" s="93"/>
    </row>
    <row r="13" spans="1:37" ht="12.75">
      <c r="A13" s="94"/>
      <c r="B13" s="95" t="s">
        <v>104</v>
      </c>
      <c r="C13" s="95" t="s">
        <v>106</v>
      </c>
      <c r="D13" s="95" t="s">
        <v>107</v>
      </c>
      <c r="E13" s="95"/>
      <c r="F13" s="95"/>
      <c r="G13" s="95"/>
      <c r="H13" s="96">
        <f>SUM(H14:H18)</f>
        <v>0</v>
      </c>
      <c r="I13" s="96">
        <f>SUM(I14:I18)</f>
        <v>0</v>
      </c>
      <c r="J13" s="96">
        <f>H13+I13</f>
        <v>0</v>
      </c>
      <c r="K13" s="97"/>
      <c r="L13" s="96">
        <f>SUM(L14:L18)</f>
        <v>0</v>
      </c>
      <c r="M13" s="97"/>
      <c r="P13" s="98">
        <f>IF(Q13="PR",J13,SUM(O14:O18))</f>
        <v>0</v>
      </c>
      <c r="Q13" s="89" t="s">
        <v>108</v>
      </c>
      <c r="R13" s="98">
        <f>IF(Q13="HS",H13,0)</f>
        <v>0</v>
      </c>
      <c r="S13" s="98">
        <f>IF(Q13="HS",I13-P13,0)</f>
        <v>0</v>
      </c>
      <c r="T13" s="98">
        <f>IF(Q13="PS",H13,0)</f>
        <v>0</v>
      </c>
      <c r="U13" s="98">
        <f>IF(Q13="PS",I13-P13,0)</f>
        <v>0</v>
      </c>
      <c r="V13" s="98">
        <f>IF(Q13="MP",H13,0)</f>
        <v>0</v>
      </c>
      <c r="W13" s="98">
        <f>IF(Q13="MP",I13-P13,0)</f>
        <v>0</v>
      </c>
      <c r="X13" s="98">
        <f>IF(Q13="OM",H13,0)</f>
        <v>0</v>
      </c>
      <c r="Y13" s="89" t="s">
        <v>104</v>
      </c>
      <c r="AI13" s="98">
        <f>SUM(Z14:Z18)</f>
        <v>0</v>
      </c>
      <c r="AJ13" s="98">
        <f>SUM(AA14:AA18)</f>
        <v>0</v>
      </c>
      <c r="AK13" s="98">
        <f>SUM(AB14:AB18)</f>
        <v>0</v>
      </c>
    </row>
    <row r="14" spans="1:43" ht="12.75">
      <c r="A14" s="67" t="s">
        <v>106</v>
      </c>
      <c r="B14" s="67" t="s">
        <v>104</v>
      </c>
      <c r="C14" s="67" t="s">
        <v>109</v>
      </c>
      <c r="D14" s="67" t="s">
        <v>110</v>
      </c>
      <c r="E14" s="67" t="s">
        <v>111</v>
      </c>
      <c r="F14" s="99">
        <v>47</v>
      </c>
      <c r="G14" s="100"/>
      <c r="H14" s="100">
        <f>F14*AE14</f>
        <v>0</v>
      </c>
      <c r="I14" s="100">
        <f>J14-H14</f>
        <v>0</v>
      </c>
      <c r="J14" s="100">
        <f>F14*G14</f>
        <v>0</v>
      </c>
      <c r="K14" s="100">
        <v>0</v>
      </c>
      <c r="L14" s="100">
        <f>F14*K14</f>
        <v>0</v>
      </c>
      <c r="M14" s="101" t="s">
        <v>112</v>
      </c>
      <c r="N14" s="102" t="s">
        <v>113</v>
      </c>
      <c r="O14" s="103">
        <f>IF(N14="5",I14,0)</f>
        <v>0</v>
      </c>
      <c r="Z14" s="103">
        <f>IF(AD14=0,J14,0)</f>
        <v>0</v>
      </c>
      <c r="AA14" s="103">
        <f>IF(AD14=15,J14,0)</f>
        <v>0</v>
      </c>
      <c r="AB14" s="103">
        <f>IF(AD14=21,J14,0)</f>
        <v>0</v>
      </c>
      <c r="AD14" s="103">
        <v>21</v>
      </c>
      <c r="AE14" s="103">
        <f>G14*0</f>
        <v>0</v>
      </c>
      <c r="AF14" s="103">
        <f>G14*(1-0)</f>
        <v>0</v>
      </c>
      <c r="AM14" s="103">
        <f>F14*AE14</f>
        <v>0</v>
      </c>
      <c r="AN14" s="103">
        <f>F14*AF14</f>
        <v>0</v>
      </c>
      <c r="AO14" s="102" t="s">
        <v>114</v>
      </c>
      <c r="AP14" s="102" t="s">
        <v>114</v>
      </c>
      <c r="AQ14" s="89" t="s">
        <v>115</v>
      </c>
    </row>
    <row r="15" spans="1:13" ht="12.75">
      <c r="A15" s="104"/>
      <c r="B15" s="104"/>
      <c r="C15" s="104"/>
      <c r="D15" s="105" t="s">
        <v>116</v>
      </c>
      <c r="E15" s="104"/>
      <c r="F15" s="106">
        <v>47</v>
      </c>
      <c r="G15" s="104"/>
      <c r="H15" s="104"/>
      <c r="I15" s="104"/>
      <c r="J15" s="104"/>
      <c r="K15" s="104"/>
      <c r="L15" s="104"/>
      <c r="M15" s="104"/>
    </row>
    <row r="16" spans="1:43" ht="12.75">
      <c r="A16" s="67" t="s">
        <v>117</v>
      </c>
      <c r="B16" s="67" t="s">
        <v>104</v>
      </c>
      <c r="C16" s="67" t="s">
        <v>118</v>
      </c>
      <c r="D16" s="67" t="s">
        <v>119</v>
      </c>
      <c r="E16" s="67" t="s">
        <v>111</v>
      </c>
      <c r="F16" s="99">
        <v>1</v>
      </c>
      <c r="G16" s="100"/>
      <c r="H16" s="100">
        <f>F16*AE16</f>
        <v>0</v>
      </c>
      <c r="I16" s="100">
        <f>J16-H16</f>
        <v>0</v>
      </c>
      <c r="J16" s="100">
        <f>F16*G16</f>
        <v>0</v>
      </c>
      <c r="K16" s="100">
        <v>0</v>
      </c>
      <c r="L16" s="100">
        <f>F16*K16</f>
        <v>0</v>
      </c>
      <c r="M16" s="101" t="s">
        <v>112</v>
      </c>
      <c r="N16" s="102" t="s">
        <v>106</v>
      </c>
      <c r="O16" s="103">
        <f>IF(N16="5",I16,0)</f>
        <v>0</v>
      </c>
      <c r="Z16" s="103">
        <f>IF(AD16=0,J16,0)</f>
        <v>0</v>
      </c>
      <c r="AA16" s="103">
        <f>IF(AD16=15,J16,0)</f>
        <v>0</v>
      </c>
      <c r="AB16" s="103">
        <f>IF(AD16=21,J16,0)</f>
        <v>0</v>
      </c>
      <c r="AD16" s="103">
        <v>21</v>
      </c>
      <c r="AE16" s="103">
        <f>G16*0</f>
        <v>0</v>
      </c>
      <c r="AF16" s="103">
        <f>G16*(1-0)</f>
        <v>0</v>
      </c>
      <c r="AM16" s="103">
        <f>F16*AE16</f>
        <v>0</v>
      </c>
      <c r="AN16" s="103">
        <f>F16*AF16</f>
        <v>0</v>
      </c>
      <c r="AO16" s="102" t="s">
        <v>114</v>
      </c>
      <c r="AP16" s="102" t="s">
        <v>114</v>
      </c>
      <c r="AQ16" s="89" t="s">
        <v>115</v>
      </c>
    </row>
    <row r="17" spans="1:13" ht="12.75">
      <c r="A17" s="104"/>
      <c r="B17" s="104"/>
      <c r="C17" s="104"/>
      <c r="D17" s="105" t="s">
        <v>120</v>
      </c>
      <c r="E17" s="104"/>
      <c r="F17" s="106">
        <v>1</v>
      </c>
      <c r="G17" s="104"/>
      <c r="H17" s="104"/>
      <c r="I17" s="104"/>
      <c r="J17" s="104"/>
      <c r="K17" s="104"/>
      <c r="L17" s="104"/>
      <c r="M17" s="104"/>
    </row>
    <row r="18" spans="1:43" ht="12.75">
      <c r="A18" s="67" t="s">
        <v>113</v>
      </c>
      <c r="B18" s="67" t="s">
        <v>104</v>
      </c>
      <c r="C18" s="67" t="s">
        <v>121</v>
      </c>
      <c r="D18" s="67" t="s">
        <v>122</v>
      </c>
      <c r="E18" s="67" t="s">
        <v>123</v>
      </c>
      <c r="F18" s="99">
        <v>112.8</v>
      </c>
      <c r="G18" s="100"/>
      <c r="H18" s="100">
        <f>F18*AE18</f>
        <v>0</v>
      </c>
      <c r="I18" s="100">
        <f>J18-H18</f>
        <v>0</v>
      </c>
      <c r="J18" s="100">
        <f>F18*G18</f>
        <v>0</v>
      </c>
      <c r="K18" s="100">
        <v>0</v>
      </c>
      <c r="L18" s="100">
        <f>F18*K18</f>
        <v>0</v>
      </c>
      <c r="M18" s="101" t="s">
        <v>112</v>
      </c>
      <c r="N18" s="102" t="s">
        <v>106</v>
      </c>
      <c r="O18" s="103">
        <f>IF(N18="5",I18,0)</f>
        <v>0</v>
      </c>
      <c r="Z18" s="103">
        <f>IF(AD18=0,J18,0)</f>
        <v>0</v>
      </c>
      <c r="AA18" s="103">
        <f>IF(AD18=15,J18,0)</f>
        <v>0</v>
      </c>
      <c r="AB18" s="103">
        <f>IF(AD18=21,J18,0)</f>
        <v>0</v>
      </c>
      <c r="AD18" s="103">
        <v>21</v>
      </c>
      <c r="AE18" s="103">
        <f>G18*0</f>
        <v>0</v>
      </c>
      <c r="AF18" s="103">
        <f>G18*(1-0)</f>
        <v>0</v>
      </c>
      <c r="AM18" s="103">
        <f>F18*AE18</f>
        <v>0</v>
      </c>
      <c r="AN18" s="103">
        <f>F18*AF18</f>
        <v>0</v>
      </c>
      <c r="AO18" s="102" t="s">
        <v>114</v>
      </c>
      <c r="AP18" s="102" t="s">
        <v>114</v>
      </c>
      <c r="AQ18" s="89" t="s">
        <v>115</v>
      </c>
    </row>
    <row r="19" spans="1:13" ht="12.75">
      <c r="A19" s="104"/>
      <c r="B19" s="104"/>
      <c r="C19" s="104"/>
      <c r="D19" s="105" t="s">
        <v>124</v>
      </c>
      <c r="E19" s="104"/>
      <c r="F19" s="106">
        <v>112.8</v>
      </c>
      <c r="G19" s="104"/>
      <c r="H19" s="104"/>
      <c r="I19" s="104"/>
      <c r="J19" s="104"/>
      <c r="K19" s="104"/>
      <c r="L19" s="104"/>
      <c r="M19" s="104"/>
    </row>
    <row r="20" spans="1:37" ht="12.75">
      <c r="A20" s="94"/>
      <c r="B20" s="95" t="s">
        <v>104</v>
      </c>
      <c r="C20" s="95" t="s">
        <v>125</v>
      </c>
      <c r="D20" s="95" t="s">
        <v>126</v>
      </c>
      <c r="E20" s="95"/>
      <c r="F20" s="95"/>
      <c r="G20" s="95"/>
      <c r="H20" s="96">
        <f>SUM(H21:H31)</f>
        <v>0</v>
      </c>
      <c r="I20" s="96">
        <f>SUM(I21:I31)</f>
        <v>0</v>
      </c>
      <c r="J20" s="96">
        <f>H20+I20</f>
        <v>0</v>
      </c>
      <c r="K20" s="97"/>
      <c r="L20" s="96">
        <f>SUM(L21:L31)</f>
        <v>9.255600000000001</v>
      </c>
      <c r="M20" s="97"/>
      <c r="P20" s="98">
        <f>IF(Q20="PR",J20,SUM(O21:O31))</f>
        <v>0</v>
      </c>
      <c r="Q20" s="89" t="s">
        <v>108</v>
      </c>
      <c r="R20" s="98">
        <f>IF(Q20="HS",H20,0)</f>
        <v>0</v>
      </c>
      <c r="S20" s="98">
        <f>IF(Q20="HS",I20-P20,0)</f>
        <v>0</v>
      </c>
      <c r="T20" s="98">
        <f>IF(Q20="PS",H20,0)</f>
        <v>0</v>
      </c>
      <c r="U20" s="98">
        <f>IF(Q20="PS",I20-P20,0)</f>
        <v>0</v>
      </c>
      <c r="V20" s="98">
        <f>IF(Q20="MP",H20,0)</f>
        <v>0</v>
      </c>
      <c r="W20" s="98">
        <f>IF(Q20="MP",I20-P20,0)</f>
        <v>0</v>
      </c>
      <c r="X20" s="98">
        <f>IF(Q20="OM",H20,0)</f>
        <v>0</v>
      </c>
      <c r="Y20" s="89" t="s">
        <v>104</v>
      </c>
      <c r="AI20" s="98">
        <f>SUM(Z21:Z31)</f>
        <v>0</v>
      </c>
      <c r="AJ20" s="98">
        <f>SUM(AA21:AA31)</f>
        <v>0</v>
      </c>
      <c r="AK20" s="98">
        <f>SUM(AB21:AB31)</f>
        <v>0</v>
      </c>
    </row>
    <row r="21" spans="1:43" ht="12.75">
      <c r="A21" s="67" t="s">
        <v>127</v>
      </c>
      <c r="B21" s="67" t="s">
        <v>104</v>
      </c>
      <c r="C21" s="67" t="s">
        <v>128</v>
      </c>
      <c r="D21" s="67" t="s">
        <v>129</v>
      </c>
      <c r="E21" s="67" t="s">
        <v>123</v>
      </c>
      <c r="F21" s="99">
        <v>17.55</v>
      </c>
      <c r="G21" s="100"/>
      <c r="H21" s="100">
        <f>F21*AE21</f>
        <v>0</v>
      </c>
      <c r="I21" s="100">
        <f>J21-H21</f>
        <v>0</v>
      </c>
      <c r="J21" s="100">
        <f>F21*G21</f>
        <v>0</v>
      </c>
      <c r="K21" s="100">
        <v>0.138</v>
      </c>
      <c r="L21" s="100">
        <f>F21*K21</f>
        <v>2.4219000000000004</v>
      </c>
      <c r="M21" s="101" t="s">
        <v>112</v>
      </c>
      <c r="N21" s="102" t="s">
        <v>106</v>
      </c>
      <c r="O21" s="103">
        <f>IF(N21="5",I21,0)</f>
        <v>0</v>
      </c>
      <c r="Z21" s="103">
        <f>IF(AD21=0,J21,0)</f>
        <v>0</v>
      </c>
      <c r="AA21" s="103">
        <f>IF(AD21=15,J21,0)</f>
        <v>0</v>
      </c>
      <c r="AB21" s="103">
        <f>IF(AD21=21,J21,0)</f>
        <v>0</v>
      </c>
      <c r="AD21" s="103">
        <v>21</v>
      </c>
      <c r="AE21" s="103">
        <f>G21*0</f>
        <v>0</v>
      </c>
      <c r="AF21" s="103">
        <f>G21*(1-0)</f>
        <v>0</v>
      </c>
      <c r="AM21" s="103">
        <f>F21*AE21</f>
        <v>0</v>
      </c>
      <c r="AN21" s="103">
        <f>F21*AF21</f>
        <v>0</v>
      </c>
      <c r="AO21" s="102" t="s">
        <v>130</v>
      </c>
      <c r="AP21" s="102" t="s">
        <v>114</v>
      </c>
      <c r="AQ21" s="89" t="s">
        <v>115</v>
      </c>
    </row>
    <row r="22" spans="1:13" ht="12.75">
      <c r="A22" s="104"/>
      <c r="B22" s="104"/>
      <c r="C22" s="104"/>
      <c r="D22" s="105" t="s">
        <v>131</v>
      </c>
      <c r="E22" s="104"/>
      <c r="F22" s="106">
        <v>17.55</v>
      </c>
      <c r="G22" s="104"/>
      <c r="H22" s="104"/>
      <c r="I22" s="104"/>
      <c r="J22" s="104"/>
      <c r="K22" s="104"/>
      <c r="L22" s="104"/>
      <c r="M22" s="104"/>
    </row>
    <row r="23" spans="1:43" ht="12.75">
      <c r="A23" s="67" t="s">
        <v>132</v>
      </c>
      <c r="B23" s="67" t="s">
        <v>104</v>
      </c>
      <c r="C23" s="67" t="s">
        <v>133</v>
      </c>
      <c r="D23" s="67" t="s">
        <v>134</v>
      </c>
      <c r="E23" s="67" t="s">
        <v>123</v>
      </c>
      <c r="F23" s="99">
        <v>17.55</v>
      </c>
      <c r="G23" s="100"/>
      <c r="H23" s="100">
        <f>F23*AE23</f>
        <v>0</v>
      </c>
      <c r="I23" s="100">
        <f>J23-H23</f>
        <v>0</v>
      </c>
      <c r="J23" s="100">
        <f>F23*G23</f>
        <v>0</v>
      </c>
      <c r="K23" s="100">
        <v>0</v>
      </c>
      <c r="L23" s="100">
        <f>F23*K23</f>
        <v>0</v>
      </c>
      <c r="M23" s="101" t="s">
        <v>112</v>
      </c>
      <c r="N23" s="102" t="s">
        <v>106</v>
      </c>
      <c r="O23" s="103">
        <f>IF(N23="5",I23,0)</f>
        <v>0</v>
      </c>
      <c r="Z23" s="103">
        <f>IF(AD23=0,J23,0)</f>
        <v>0</v>
      </c>
      <c r="AA23" s="103">
        <f>IF(AD23=15,J23,0)</f>
        <v>0</v>
      </c>
      <c r="AB23" s="103">
        <f>IF(AD23=21,J23,0)</f>
        <v>0</v>
      </c>
      <c r="AD23" s="103">
        <v>21</v>
      </c>
      <c r="AE23" s="103">
        <f>G23*0</f>
        <v>0</v>
      </c>
      <c r="AF23" s="103">
        <f>G23*(1-0)</f>
        <v>0</v>
      </c>
      <c r="AM23" s="103">
        <f>F23*AE23</f>
        <v>0</v>
      </c>
      <c r="AN23" s="103">
        <f>F23*AF23</f>
        <v>0</v>
      </c>
      <c r="AO23" s="102" t="s">
        <v>130</v>
      </c>
      <c r="AP23" s="102" t="s">
        <v>114</v>
      </c>
      <c r="AQ23" s="89" t="s">
        <v>115</v>
      </c>
    </row>
    <row r="24" spans="1:13" ht="12.75">
      <c r="A24" s="104"/>
      <c r="B24" s="104"/>
      <c r="C24" s="104"/>
      <c r="D24" s="105" t="s">
        <v>135</v>
      </c>
      <c r="E24" s="104"/>
      <c r="F24" s="106">
        <v>17.55</v>
      </c>
      <c r="G24" s="104"/>
      <c r="H24" s="104"/>
      <c r="I24" s="104"/>
      <c r="J24" s="104"/>
      <c r="K24" s="104"/>
      <c r="L24" s="104"/>
      <c r="M24" s="104"/>
    </row>
    <row r="25" spans="1:43" ht="12.75">
      <c r="A25" s="67" t="s">
        <v>136</v>
      </c>
      <c r="B25" s="67" t="s">
        <v>104</v>
      </c>
      <c r="C25" s="67" t="s">
        <v>137</v>
      </c>
      <c r="D25" s="67" t="s">
        <v>138</v>
      </c>
      <c r="E25" s="67" t="s">
        <v>139</v>
      </c>
      <c r="F25" s="99">
        <v>29.7</v>
      </c>
      <c r="G25" s="100"/>
      <c r="H25" s="100">
        <f>F25*AE25</f>
        <v>0</v>
      </c>
      <c r="I25" s="100">
        <f>J25-H25</f>
        <v>0</v>
      </c>
      <c r="J25" s="100">
        <f>F25*G25</f>
        <v>0</v>
      </c>
      <c r="K25" s="100">
        <v>0.145</v>
      </c>
      <c r="L25" s="100">
        <f>F25*K25</f>
        <v>4.3065</v>
      </c>
      <c r="M25" s="101" t="s">
        <v>112</v>
      </c>
      <c r="N25" s="102" t="s">
        <v>106</v>
      </c>
      <c r="O25" s="103">
        <f>IF(N25="5",I25,0)</f>
        <v>0</v>
      </c>
      <c r="Z25" s="103">
        <f>IF(AD25=0,J25,0)</f>
        <v>0</v>
      </c>
      <c r="AA25" s="103">
        <f>IF(AD25=15,J25,0)</f>
        <v>0</v>
      </c>
      <c r="AB25" s="103">
        <f>IF(AD25=21,J25,0)</f>
        <v>0</v>
      </c>
      <c r="AD25" s="103">
        <v>21</v>
      </c>
      <c r="AE25" s="103">
        <f>G25*0</f>
        <v>0</v>
      </c>
      <c r="AF25" s="103">
        <f>G25*(1-0)</f>
        <v>0</v>
      </c>
      <c r="AM25" s="103">
        <f>F25*AE25</f>
        <v>0</v>
      </c>
      <c r="AN25" s="103">
        <f>F25*AF25</f>
        <v>0</v>
      </c>
      <c r="AO25" s="102" t="s">
        <v>130</v>
      </c>
      <c r="AP25" s="102" t="s">
        <v>114</v>
      </c>
      <c r="AQ25" s="89" t="s">
        <v>115</v>
      </c>
    </row>
    <row r="26" spans="1:13" ht="12.75">
      <c r="A26" s="104"/>
      <c r="B26" s="104"/>
      <c r="C26" s="104"/>
      <c r="D26" s="105" t="s">
        <v>140</v>
      </c>
      <c r="E26" s="104"/>
      <c r="F26" s="106">
        <v>29.7</v>
      </c>
      <c r="G26" s="104"/>
      <c r="H26" s="104"/>
      <c r="I26" s="104"/>
      <c r="J26" s="104"/>
      <c r="K26" s="104"/>
      <c r="L26" s="104"/>
      <c r="M26" s="104"/>
    </row>
    <row r="27" spans="1:43" ht="12.75">
      <c r="A27" s="67" t="s">
        <v>141</v>
      </c>
      <c r="B27" s="67" t="s">
        <v>104</v>
      </c>
      <c r="C27" s="67" t="s">
        <v>142</v>
      </c>
      <c r="D27" s="67" t="s">
        <v>143</v>
      </c>
      <c r="E27" s="67" t="s">
        <v>123</v>
      </c>
      <c r="F27" s="99">
        <v>17.55</v>
      </c>
      <c r="G27" s="100"/>
      <c r="H27" s="100">
        <f>F27*AE27</f>
        <v>0</v>
      </c>
      <c r="I27" s="100">
        <f>J27-H27</f>
        <v>0</v>
      </c>
      <c r="J27" s="100">
        <f>F27*G27</f>
        <v>0</v>
      </c>
      <c r="K27" s="100">
        <v>0.144</v>
      </c>
      <c r="L27" s="100">
        <f>F27*K27</f>
        <v>2.5272</v>
      </c>
      <c r="M27" s="101" t="s">
        <v>112</v>
      </c>
      <c r="N27" s="102" t="s">
        <v>106</v>
      </c>
      <c r="O27" s="103">
        <f>IF(N27="5",I27,0)</f>
        <v>0</v>
      </c>
      <c r="Z27" s="103">
        <f>IF(AD27=0,J27,0)</f>
        <v>0</v>
      </c>
      <c r="AA27" s="103">
        <f>IF(AD27=15,J27,0)</f>
        <v>0</v>
      </c>
      <c r="AB27" s="103">
        <f>IF(AD27=21,J27,0)</f>
        <v>0</v>
      </c>
      <c r="AD27" s="103">
        <v>21</v>
      </c>
      <c r="AE27" s="103">
        <f>G27*0</f>
        <v>0</v>
      </c>
      <c r="AF27" s="103">
        <f>G27*(1-0)</f>
        <v>0</v>
      </c>
      <c r="AM27" s="103">
        <f>F27*AE27</f>
        <v>0</v>
      </c>
      <c r="AN27" s="103">
        <f>F27*AF27</f>
        <v>0</v>
      </c>
      <c r="AO27" s="102" t="s">
        <v>130</v>
      </c>
      <c r="AP27" s="102" t="s">
        <v>114</v>
      </c>
      <c r="AQ27" s="89" t="s">
        <v>115</v>
      </c>
    </row>
    <row r="28" spans="1:13" ht="12.75">
      <c r="A28" s="104"/>
      <c r="B28" s="104"/>
      <c r="C28" s="104"/>
      <c r="D28" s="105" t="s">
        <v>135</v>
      </c>
      <c r="E28" s="104"/>
      <c r="F28" s="106">
        <v>17.55</v>
      </c>
      <c r="G28" s="104"/>
      <c r="H28" s="104"/>
      <c r="I28" s="104"/>
      <c r="J28" s="104"/>
      <c r="K28" s="104"/>
      <c r="L28" s="104"/>
      <c r="M28" s="104"/>
    </row>
    <row r="29" spans="1:43" ht="12.75">
      <c r="A29" s="67" t="s">
        <v>144</v>
      </c>
      <c r="B29" s="67" t="s">
        <v>104</v>
      </c>
      <c r="C29" s="67" t="s">
        <v>145</v>
      </c>
      <c r="D29" s="67" t="s">
        <v>146</v>
      </c>
      <c r="E29" s="67" t="s">
        <v>147</v>
      </c>
      <c r="F29" s="99">
        <v>9.256</v>
      </c>
      <c r="G29" s="100"/>
      <c r="H29" s="100">
        <f>F29*AE29</f>
        <v>0</v>
      </c>
      <c r="I29" s="100">
        <f>J29-H29</f>
        <v>0</v>
      </c>
      <c r="J29" s="100">
        <f>F29*G29</f>
        <v>0</v>
      </c>
      <c r="K29" s="100">
        <v>0</v>
      </c>
      <c r="L29" s="100">
        <f>F29*K29</f>
        <v>0</v>
      </c>
      <c r="M29" s="101" t="s">
        <v>112</v>
      </c>
      <c r="N29" s="102" t="s">
        <v>132</v>
      </c>
      <c r="O29" s="103">
        <f>IF(N29="5",I29,0)</f>
        <v>0</v>
      </c>
      <c r="Z29" s="103">
        <f>IF(AD29=0,J29,0)</f>
        <v>0</v>
      </c>
      <c r="AA29" s="103">
        <f>IF(AD29=15,J29,0)</f>
        <v>0</v>
      </c>
      <c r="AB29" s="103">
        <f>IF(AD29=21,J29,0)</f>
        <v>0</v>
      </c>
      <c r="AD29" s="103">
        <v>21</v>
      </c>
      <c r="AE29" s="103">
        <f>G29*0</f>
        <v>0</v>
      </c>
      <c r="AF29" s="103">
        <f>G29*(1-0)</f>
        <v>0</v>
      </c>
      <c r="AM29" s="103">
        <f>F29*AE29</f>
        <v>0</v>
      </c>
      <c r="AN29" s="103">
        <f>F29*AF29</f>
        <v>0</v>
      </c>
      <c r="AO29" s="102" t="s">
        <v>130</v>
      </c>
      <c r="AP29" s="102" t="s">
        <v>114</v>
      </c>
      <c r="AQ29" s="89" t="s">
        <v>115</v>
      </c>
    </row>
    <row r="30" spans="1:43" ht="12.75">
      <c r="A30" s="67" t="s">
        <v>148</v>
      </c>
      <c r="B30" s="67" t="s">
        <v>104</v>
      </c>
      <c r="C30" s="67" t="s">
        <v>149</v>
      </c>
      <c r="D30" s="67" t="s">
        <v>150</v>
      </c>
      <c r="E30" s="67" t="s">
        <v>147</v>
      </c>
      <c r="F30" s="99">
        <v>9.256</v>
      </c>
      <c r="G30" s="100"/>
      <c r="H30" s="100">
        <f>F30*AE30</f>
        <v>0</v>
      </c>
      <c r="I30" s="100">
        <f>J30-H30</f>
        <v>0</v>
      </c>
      <c r="J30" s="100">
        <f>F30*G30</f>
        <v>0</v>
      </c>
      <c r="K30" s="100">
        <v>0</v>
      </c>
      <c r="L30" s="100">
        <f>F30*K30</f>
        <v>0</v>
      </c>
      <c r="M30" s="101" t="s">
        <v>112</v>
      </c>
      <c r="N30" s="102" t="s">
        <v>132</v>
      </c>
      <c r="O30" s="103">
        <f>IF(N30="5",I30,0)</f>
        <v>0</v>
      </c>
      <c r="Z30" s="103">
        <f>IF(AD30=0,J30,0)</f>
        <v>0</v>
      </c>
      <c r="AA30" s="103">
        <f>IF(AD30=15,J30,0)</f>
        <v>0</v>
      </c>
      <c r="AB30" s="103">
        <f>IF(AD30=21,J30,0)</f>
        <v>0</v>
      </c>
      <c r="AD30" s="103">
        <v>21</v>
      </c>
      <c r="AE30" s="103">
        <f>G30*0</f>
        <v>0</v>
      </c>
      <c r="AF30" s="103">
        <f>G30*(1-0)</f>
        <v>0</v>
      </c>
      <c r="AM30" s="103">
        <f>F30*AE30</f>
        <v>0</v>
      </c>
      <c r="AN30" s="103">
        <f>F30*AF30</f>
        <v>0</v>
      </c>
      <c r="AO30" s="102" t="s">
        <v>130</v>
      </c>
      <c r="AP30" s="102" t="s">
        <v>114</v>
      </c>
      <c r="AQ30" s="89" t="s">
        <v>115</v>
      </c>
    </row>
    <row r="31" spans="1:43" ht="12.75">
      <c r="A31" s="67" t="s">
        <v>151</v>
      </c>
      <c r="B31" s="67" t="s">
        <v>104</v>
      </c>
      <c r="C31" s="67" t="s">
        <v>152</v>
      </c>
      <c r="D31" s="67" t="s">
        <v>153</v>
      </c>
      <c r="E31" s="67" t="s">
        <v>147</v>
      </c>
      <c r="F31" s="99">
        <v>9.256</v>
      </c>
      <c r="G31" s="100"/>
      <c r="H31" s="100">
        <f>F31*AE31</f>
        <v>0</v>
      </c>
      <c r="I31" s="100">
        <f>J31-H31</f>
        <v>0</v>
      </c>
      <c r="J31" s="100">
        <f>F31*G31</f>
        <v>0</v>
      </c>
      <c r="K31" s="100">
        <v>0</v>
      </c>
      <c r="L31" s="100">
        <f>F31*K31</f>
        <v>0</v>
      </c>
      <c r="M31" s="101" t="s">
        <v>112</v>
      </c>
      <c r="N31" s="102" t="s">
        <v>132</v>
      </c>
      <c r="O31" s="103">
        <f>IF(N31="5",I31,0)</f>
        <v>0</v>
      </c>
      <c r="Z31" s="103">
        <f>IF(AD31=0,J31,0)</f>
        <v>0</v>
      </c>
      <c r="AA31" s="103">
        <f>IF(AD31=15,J31,0)</f>
        <v>0</v>
      </c>
      <c r="AB31" s="103">
        <f>IF(AD31=21,J31,0)</f>
        <v>0</v>
      </c>
      <c r="AD31" s="103">
        <v>21</v>
      </c>
      <c r="AE31" s="103">
        <f>G31*0</f>
        <v>0</v>
      </c>
      <c r="AF31" s="103">
        <f>G31*(1-0)</f>
        <v>0</v>
      </c>
      <c r="AM31" s="103">
        <f>F31*AE31</f>
        <v>0</v>
      </c>
      <c r="AN31" s="103">
        <f>F31*AF31</f>
        <v>0</v>
      </c>
      <c r="AO31" s="102" t="s">
        <v>130</v>
      </c>
      <c r="AP31" s="102" t="s">
        <v>114</v>
      </c>
      <c r="AQ31" s="89" t="s">
        <v>115</v>
      </c>
    </row>
    <row r="32" spans="1:37" ht="12.75">
      <c r="A32" s="94"/>
      <c r="B32" s="95" t="s">
        <v>104</v>
      </c>
      <c r="C32" s="95" t="s">
        <v>154</v>
      </c>
      <c r="D32" s="95" t="s">
        <v>155</v>
      </c>
      <c r="E32" s="95"/>
      <c r="F32" s="95"/>
      <c r="G32" s="95"/>
      <c r="H32" s="96">
        <f>SUM(H33:H33)</f>
        <v>0</v>
      </c>
      <c r="I32" s="96">
        <f>SUM(I33:I33)</f>
        <v>0</v>
      </c>
      <c r="J32" s="96">
        <f>H32+I32</f>
        <v>0</v>
      </c>
      <c r="K32" s="97"/>
      <c r="L32" s="96">
        <f>SUM(L33:L33)</f>
        <v>0.593418</v>
      </c>
      <c r="M32" s="97"/>
      <c r="P32" s="98">
        <f>IF(Q32="PR",J32,SUM(O33:O33))</f>
        <v>0</v>
      </c>
      <c r="Q32" s="89" t="s">
        <v>108</v>
      </c>
      <c r="R32" s="98">
        <f>IF(Q32="HS",H32,0)</f>
        <v>0</v>
      </c>
      <c r="S32" s="98">
        <f>IF(Q32="HS",I32-P32,0)</f>
        <v>0</v>
      </c>
      <c r="T32" s="98">
        <f>IF(Q32="PS",H32,0)</f>
        <v>0</v>
      </c>
      <c r="U32" s="98">
        <f>IF(Q32="PS",I32-P32,0)</f>
        <v>0</v>
      </c>
      <c r="V32" s="98">
        <f>IF(Q32="MP",H32,0)</f>
        <v>0</v>
      </c>
      <c r="W32" s="98">
        <f>IF(Q32="MP",I32-P32,0)</f>
        <v>0</v>
      </c>
      <c r="X32" s="98">
        <f>IF(Q32="OM",H32,0)</f>
        <v>0</v>
      </c>
      <c r="Y32" s="89" t="s">
        <v>104</v>
      </c>
      <c r="AI32" s="98">
        <f>SUM(Z33:Z33)</f>
        <v>0</v>
      </c>
      <c r="AJ32" s="98">
        <f>SUM(AA33:AA33)</f>
        <v>0</v>
      </c>
      <c r="AK32" s="98">
        <f>SUM(AB33:AB33)</f>
        <v>0</v>
      </c>
    </row>
    <row r="33" spans="1:43" ht="12.75">
      <c r="A33" s="67" t="s">
        <v>125</v>
      </c>
      <c r="B33" s="67" t="s">
        <v>104</v>
      </c>
      <c r="C33" s="67" t="s">
        <v>156</v>
      </c>
      <c r="D33" s="67" t="s">
        <v>157</v>
      </c>
      <c r="E33" s="67" t="s">
        <v>123</v>
      </c>
      <c r="F33" s="99">
        <v>2.1</v>
      </c>
      <c r="G33" s="100"/>
      <c r="H33" s="100">
        <f>F33*AE33</f>
        <v>0</v>
      </c>
      <c r="I33" s="100">
        <f>J33-H33</f>
        <v>0</v>
      </c>
      <c r="J33" s="100">
        <f>F33*G33</f>
        <v>0</v>
      </c>
      <c r="K33" s="100">
        <v>0.28258</v>
      </c>
      <c r="L33" s="100">
        <f>F33*K33</f>
        <v>0.593418</v>
      </c>
      <c r="M33" s="101" t="s">
        <v>112</v>
      </c>
      <c r="N33" s="102" t="s">
        <v>106</v>
      </c>
      <c r="O33" s="103">
        <f>IF(N33="5",I33,0)</f>
        <v>0</v>
      </c>
      <c r="Z33" s="103">
        <f>IF(AD33=0,J33,0)</f>
        <v>0</v>
      </c>
      <c r="AA33" s="103">
        <f>IF(AD33=15,J33,0)</f>
        <v>0</v>
      </c>
      <c r="AB33" s="103">
        <f>IF(AD33=21,J33,0)</f>
        <v>0</v>
      </c>
      <c r="AD33" s="103">
        <v>21</v>
      </c>
      <c r="AE33" s="103">
        <f>G33*0.637699115044248</f>
        <v>0</v>
      </c>
      <c r="AF33" s="103">
        <f>G33*(1-0.637699115044248)</f>
        <v>0</v>
      </c>
      <c r="AM33" s="103">
        <f>F33*AE33</f>
        <v>0</v>
      </c>
      <c r="AN33" s="103">
        <f>F33*AF33</f>
        <v>0</v>
      </c>
      <c r="AO33" s="102" t="s">
        <v>158</v>
      </c>
      <c r="AP33" s="102" t="s">
        <v>159</v>
      </c>
      <c r="AQ33" s="89" t="s">
        <v>115</v>
      </c>
    </row>
    <row r="34" spans="1:13" ht="12.75">
      <c r="A34" s="104"/>
      <c r="B34" s="104"/>
      <c r="C34" s="104"/>
      <c r="D34" s="105" t="s">
        <v>160</v>
      </c>
      <c r="E34" s="104"/>
      <c r="F34" s="106">
        <v>2.1</v>
      </c>
      <c r="G34" s="104"/>
      <c r="H34" s="104"/>
      <c r="I34" s="104"/>
      <c r="J34" s="104"/>
      <c r="K34" s="104"/>
      <c r="L34" s="104"/>
      <c r="M34" s="104"/>
    </row>
    <row r="35" spans="1:37" ht="12.75">
      <c r="A35" s="94"/>
      <c r="B35" s="95" t="s">
        <v>104</v>
      </c>
      <c r="C35" s="95" t="s">
        <v>161</v>
      </c>
      <c r="D35" s="95" t="s">
        <v>162</v>
      </c>
      <c r="E35" s="95"/>
      <c r="F35" s="95"/>
      <c r="G35" s="95"/>
      <c r="H35" s="96">
        <f>SUM(H36:H40)</f>
        <v>0</v>
      </c>
      <c r="I35" s="96">
        <f>SUM(I36:I40)</f>
        <v>0</v>
      </c>
      <c r="J35" s="96">
        <f>H35+I35</f>
        <v>0</v>
      </c>
      <c r="K35" s="97"/>
      <c r="L35" s="96">
        <f>SUM(L36:L40)</f>
        <v>53.179559999999995</v>
      </c>
      <c r="M35" s="97"/>
      <c r="P35" s="98">
        <f>IF(Q35="PR",J35,SUM(O36:O40))</f>
        <v>0</v>
      </c>
      <c r="Q35" s="89" t="s">
        <v>108</v>
      </c>
      <c r="R35" s="98">
        <f>IF(Q35="HS",H35,0)</f>
        <v>0</v>
      </c>
      <c r="S35" s="98">
        <f>IF(Q35="HS",I35-P35,0)</f>
        <v>0</v>
      </c>
      <c r="T35" s="98">
        <f>IF(Q35="PS",H35,0)</f>
        <v>0</v>
      </c>
      <c r="U35" s="98">
        <f>IF(Q35="PS",I35-P35,0)</f>
        <v>0</v>
      </c>
      <c r="V35" s="98">
        <f>IF(Q35="MP",H35,0)</f>
        <v>0</v>
      </c>
      <c r="W35" s="98">
        <f>IF(Q35="MP",I35-P35,0)</f>
        <v>0</v>
      </c>
      <c r="X35" s="98">
        <f>IF(Q35="OM",H35,0)</f>
        <v>0</v>
      </c>
      <c r="Y35" s="89" t="s">
        <v>104</v>
      </c>
      <c r="AI35" s="98">
        <f>SUM(Z36:Z40)</f>
        <v>0</v>
      </c>
      <c r="AJ35" s="98">
        <f>SUM(AA36:AA40)</f>
        <v>0</v>
      </c>
      <c r="AK35" s="98">
        <f>SUM(AB36:AB40)</f>
        <v>0</v>
      </c>
    </row>
    <row r="36" spans="1:43" ht="12.75">
      <c r="A36" s="67" t="s">
        <v>163</v>
      </c>
      <c r="B36" s="67" t="s">
        <v>104</v>
      </c>
      <c r="C36" s="67" t="s">
        <v>164</v>
      </c>
      <c r="D36" s="67" t="s">
        <v>165</v>
      </c>
      <c r="E36" s="67" t="s">
        <v>123</v>
      </c>
      <c r="F36" s="99">
        <v>112.8</v>
      </c>
      <c r="G36" s="100"/>
      <c r="H36" s="100">
        <f>F36*AE36</f>
        <v>0</v>
      </c>
      <c r="I36" s="100">
        <f>J36-H36</f>
        <v>0</v>
      </c>
      <c r="J36" s="100">
        <f>F36*G36</f>
        <v>0</v>
      </c>
      <c r="K36" s="100">
        <v>0.25094</v>
      </c>
      <c r="L36" s="100">
        <f>F36*K36</f>
        <v>28.306032</v>
      </c>
      <c r="M36" s="101" t="s">
        <v>112</v>
      </c>
      <c r="N36" s="102" t="s">
        <v>106</v>
      </c>
      <c r="O36" s="103">
        <f>IF(N36="5",I36,0)</f>
        <v>0</v>
      </c>
      <c r="Z36" s="103">
        <f>IF(AD36=0,J36,0)</f>
        <v>0</v>
      </c>
      <c r="AA36" s="103">
        <f>IF(AD36=15,J36,0)</f>
        <v>0</v>
      </c>
      <c r="AB36" s="103">
        <f>IF(AD36=21,J36,0)</f>
        <v>0</v>
      </c>
      <c r="AD36" s="103">
        <v>21</v>
      </c>
      <c r="AE36" s="103">
        <f>G36*0.734133272960531</f>
        <v>0</v>
      </c>
      <c r="AF36" s="103">
        <f>G36*(1-0.734133272960531)</f>
        <v>0</v>
      </c>
      <c r="AM36" s="103">
        <f>F36*AE36</f>
        <v>0</v>
      </c>
      <c r="AN36" s="103">
        <f>F36*AF36</f>
        <v>0</v>
      </c>
      <c r="AO36" s="102" t="s">
        <v>166</v>
      </c>
      <c r="AP36" s="102" t="s">
        <v>167</v>
      </c>
      <c r="AQ36" s="89" t="s">
        <v>115</v>
      </c>
    </row>
    <row r="37" spans="1:13" ht="12.75">
      <c r="A37" s="104"/>
      <c r="B37" s="104"/>
      <c r="C37" s="104"/>
      <c r="D37" s="105" t="s">
        <v>124</v>
      </c>
      <c r="E37" s="104"/>
      <c r="F37" s="106">
        <v>112.8</v>
      </c>
      <c r="G37" s="104"/>
      <c r="H37" s="104"/>
      <c r="I37" s="104"/>
      <c r="J37" s="104"/>
      <c r="K37" s="104"/>
      <c r="L37" s="104"/>
      <c r="M37" s="104"/>
    </row>
    <row r="38" spans="1:43" ht="12.75">
      <c r="A38" s="67" t="s">
        <v>168</v>
      </c>
      <c r="B38" s="67" t="s">
        <v>104</v>
      </c>
      <c r="C38" s="67" t="s">
        <v>169</v>
      </c>
      <c r="D38" s="67" t="s">
        <v>170</v>
      </c>
      <c r="E38" s="67" t="s">
        <v>123</v>
      </c>
      <c r="F38" s="99">
        <v>112.8</v>
      </c>
      <c r="G38" s="100"/>
      <c r="H38" s="100">
        <f>F38*AE38</f>
        <v>0</v>
      </c>
      <c r="I38" s="100">
        <f>J38-H38</f>
        <v>0</v>
      </c>
      <c r="J38" s="100">
        <f>F38*G38</f>
        <v>0</v>
      </c>
      <c r="K38" s="100">
        <v>0.2205</v>
      </c>
      <c r="L38" s="100">
        <f>F38*K38</f>
        <v>24.8724</v>
      </c>
      <c r="M38" s="101" t="s">
        <v>112</v>
      </c>
      <c r="N38" s="102" t="s">
        <v>106</v>
      </c>
      <c r="O38" s="103">
        <f>IF(N38="5",I38,0)</f>
        <v>0</v>
      </c>
      <c r="Z38" s="103">
        <f>IF(AD38=0,J38,0)</f>
        <v>0</v>
      </c>
      <c r="AA38" s="103">
        <f>IF(AD38=15,J38,0)</f>
        <v>0</v>
      </c>
      <c r="AB38" s="103">
        <f>IF(AD38=21,J38,0)</f>
        <v>0</v>
      </c>
      <c r="AD38" s="103">
        <v>21</v>
      </c>
      <c r="AE38" s="103">
        <f>G38*0.826468170609188</f>
        <v>0</v>
      </c>
      <c r="AF38" s="103">
        <f>G38*(1-0.826468170609188)</f>
        <v>0</v>
      </c>
      <c r="AM38" s="103">
        <f>F38*AE38</f>
        <v>0</v>
      </c>
      <c r="AN38" s="103">
        <f>F38*AF38</f>
        <v>0</v>
      </c>
      <c r="AO38" s="102" t="s">
        <v>166</v>
      </c>
      <c r="AP38" s="102" t="s">
        <v>167</v>
      </c>
      <c r="AQ38" s="89" t="s">
        <v>115</v>
      </c>
    </row>
    <row r="39" spans="1:13" ht="12.75">
      <c r="A39" s="104"/>
      <c r="B39" s="104"/>
      <c r="C39" s="104"/>
      <c r="D39" s="105" t="s">
        <v>124</v>
      </c>
      <c r="E39" s="104"/>
      <c r="F39" s="106">
        <v>112.8</v>
      </c>
      <c r="G39" s="104"/>
      <c r="H39" s="104"/>
      <c r="I39" s="104"/>
      <c r="J39" s="104"/>
      <c r="K39" s="104"/>
      <c r="L39" s="104"/>
      <c r="M39" s="104"/>
    </row>
    <row r="40" spans="1:43" ht="12.75">
      <c r="A40" s="67" t="s">
        <v>171</v>
      </c>
      <c r="B40" s="67" t="s">
        <v>104</v>
      </c>
      <c r="C40" s="67" t="s">
        <v>172</v>
      </c>
      <c r="D40" s="67" t="s">
        <v>173</v>
      </c>
      <c r="E40" s="67" t="s">
        <v>123</v>
      </c>
      <c r="F40" s="99">
        <v>112.8</v>
      </c>
      <c r="G40" s="100"/>
      <c r="H40" s="100">
        <f>F40*AE40</f>
        <v>0</v>
      </c>
      <c r="I40" s="100">
        <f>J40-H40</f>
        <v>0</v>
      </c>
      <c r="J40" s="100">
        <f>F40*G40</f>
        <v>0</v>
      </c>
      <c r="K40" s="100">
        <v>1E-05</v>
      </c>
      <c r="L40" s="100">
        <f>F40*K40</f>
        <v>0.001128</v>
      </c>
      <c r="M40" s="101" t="s">
        <v>112</v>
      </c>
      <c r="N40" s="102" t="s">
        <v>106</v>
      </c>
      <c r="O40" s="103">
        <f>IF(N40="5",I40,0)</f>
        <v>0</v>
      </c>
      <c r="Z40" s="103">
        <f>IF(AD40=0,J40,0)</f>
        <v>0</v>
      </c>
      <c r="AA40" s="103">
        <f>IF(AD40=15,J40,0)</f>
        <v>0</v>
      </c>
      <c r="AB40" s="103">
        <f>IF(AD40=21,J40,0)</f>
        <v>0</v>
      </c>
      <c r="AD40" s="103">
        <v>21</v>
      </c>
      <c r="AE40" s="103">
        <f>G40*0.251290322580645</f>
        <v>0</v>
      </c>
      <c r="AF40" s="103">
        <f>G40*(1-0.251290322580645)</f>
        <v>0</v>
      </c>
      <c r="AM40" s="103">
        <f>F40*AE40</f>
        <v>0</v>
      </c>
      <c r="AN40" s="103">
        <f>F40*AF40</f>
        <v>0</v>
      </c>
      <c r="AO40" s="102" t="s">
        <v>166</v>
      </c>
      <c r="AP40" s="102" t="s">
        <v>167</v>
      </c>
      <c r="AQ40" s="89" t="s">
        <v>115</v>
      </c>
    </row>
    <row r="41" spans="1:13" ht="12.75">
      <c r="A41" s="104"/>
      <c r="B41" s="104"/>
      <c r="C41" s="104"/>
      <c r="D41" s="105" t="s">
        <v>124</v>
      </c>
      <c r="E41" s="104"/>
      <c r="F41" s="106">
        <v>112.8</v>
      </c>
      <c r="G41" s="104"/>
      <c r="H41" s="104"/>
      <c r="I41" s="104"/>
      <c r="J41" s="104"/>
      <c r="K41" s="104"/>
      <c r="L41" s="104"/>
      <c r="M41" s="104"/>
    </row>
    <row r="42" spans="1:37" ht="12.75">
      <c r="A42" s="94"/>
      <c r="B42" s="95" t="s">
        <v>104</v>
      </c>
      <c r="C42" s="95" t="s">
        <v>174</v>
      </c>
      <c r="D42" s="95" t="s">
        <v>175</v>
      </c>
      <c r="E42" s="95"/>
      <c r="F42" s="95"/>
      <c r="G42" s="95"/>
      <c r="H42" s="96">
        <f>SUM(H43:H55)</f>
        <v>0</v>
      </c>
      <c r="I42" s="96">
        <f>SUM(I43:I55)</f>
        <v>0</v>
      </c>
      <c r="J42" s="96">
        <f>H42+I42</f>
        <v>0</v>
      </c>
      <c r="K42" s="97"/>
      <c r="L42" s="96">
        <f>SUM(L43:L55)</f>
        <v>39.403856</v>
      </c>
      <c r="M42" s="97"/>
      <c r="P42" s="98">
        <f>IF(Q42="PR",J42,SUM(O43:O55))</f>
        <v>0</v>
      </c>
      <c r="Q42" s="89" t="s">
        <v>108</v>
      </c>
      <c r="R42" s="98">
        <f>IF(Q42="HS",H42,0)</f>
        <v>0</v>
      </c>
      <c r="S42" s="98">
        <f>IF(Q42="HS",I42-P42,0)</f>
        <v>0</v>
      </c>
      <c r="T42" s="98">
        <f>IF(Q42="PS",H42,0)</f>
        <v>0</v>
      </c>
      <c r="U42" s="98">
        <f>IF(Q42="PS",I42-P42,0)</f>
        <v>0</v>
      </c>
      <c r="V42" s="98">
        <f>IF(Q42="MP",H42,0)</f>
        <v>0</v>
      </c>
      <c r="W42" s="98">
        <f>IF(Q42="MP",I42-P42,0)</f>
        <v>0</v>
      </c>
      <c r="X42" s="98">
        <f>IF(Q42="OM",H42,0)</f>
        <v>0</v>
      </c>
      <c r="Y42" s="89" t="s">
        <v>104</v>
      </c>
      <c r="AI42" s="98">
        <f>SUM(Z43:Z55)</f>
        <v>0</v>
      </c>
      <c r="AJ42" s="98">
        <f>SUM(AA43:AA55)</f>
        <v>0</v>
      </c>
      <c r="AK42" s="98">
        <f>SUM(AB43:AB55)</f>
        <v>0</v>
      </c>
    </row>
    <row r="43" spans="1:43" ht="12.75">
      <c r="A43" s="67" t="s">
        <v>176</v>
      </c>
      <c r="B43" s="67" t="s">
        <v>104</v>
      </c>
      <c r="C43" s="67" t="s">
        <v>177</v>
      </c>
      <c r="D43" s="67" t="s">
        <v>178</v>
      </c>
      <c r="E43" s="67" t="s">
        <v>111</v>
      </c>
      <c r="F43" s="99">
        <v>14.14</v>
      </c>
      <c r="G43" s="100"/>
      <c r="H43" s="100">
        <f>F43*AE43</f>
        <v>0</v>
      </c>
      <c r="I43" s="100">
        <f>J43-H43</f>
        <v>0</v>
      </c>
      <c r="J43" s="100">
        <f>F43*G43</f>
        <v>0</v>
      </c>
      <c r="K43" s="100">
        <v>2.525</v>
      </c>
      <c r="L43" s="100">
        <f>F43*K43</f>
        <v>35.7035</v>
      </c>
      <c r="M43" s="101" t="s">
        <v>112</v>
      </c>
      <c r="N43" s="102" t="s">
        <v>106</v>
      </c>
      <c r="O43" s="103">
        <f>IF(N43="5",I43,0)</f>
        <v>0</v>
      </c>
      <c r="Z43" s="103">
        <f>IF(AD43=0,J43,0)</f>
        <v>0</v>
      </c>
      <c r="AA43" s="103">
        <f>IF(AD43=15,J43,0)</f>
        <v>0</v>
      </c>
      <c r="AB43" s="103">
        <f>IF(AD43=21,J43,0)</f>
        <v>0</v>
      </c>
      <c r="AD43" s="103">
        <v>21</v>
      </c>
      <c r="AE43" s="103">
        <f>G43*0.784970765020516</f>
        <v>0</v>
      </c>
      <c r="AF43" s="103">
        <f>G43*(1-0.784970765020516)</f>
        <v>0</v>
      </c>
      <c r="AM43" s="103">
        <f>F43*AE43</f>
        <v>0</v>
      </c>
      <c r="AN43" s="103">
        <f>F43*AF43</f>
        <v>0</v>
      </c>
      <c r="AO43" s="102" t="s">
        <v>179</v>
      </c>
      <c r="AP43" s="102" t="s">
        <v>167</v>
      </c>
      <c r="AQ43" s="89" t="s">
        <v>115</v>
      </c>
    </row>
    <row r="44" spans="1:13" ht="12.75">
      <c r="A44" s="104"/>
      <c r="B44" s="104"/>
      <c r="C44" s="104"/>
      <c r="D44" s="105" t="s">
        <v>180</v>
      </c>
      <c r="E44" s="104"/>
      <c r="F44" s="106">
        <v>14.14</v>
      </c>
      <c r="G44" s="104"/>
      <c r="H44" s="104"/>
      <c r="I44" s="104"/>
      <c r="J44" s="104"/>
      <c r="K44" s="104"/>
      <c r="L44" s="104"/>
      <c r="M44" s="104"/>
    </row>
    <row r="45" spans="1:43" ht="12.75">
      <c r="A45" s="67" t="s">
        <v>181</v>
      </c>
      <c r="B45" s="67" t="s">
        <v>104</v>
      </c>
      <c r="C45" s="67" t="s">
        <v>182</v>
      </c>
      <c r="D45" s="67" t="s">
        <v>183</v>
      </c>
      <c r="E45" s="67" t="s">
        <v>123</v>
      </c>
      <c r="F45" s="99">
        <v>101</v>
      </c>
      <c r="G45" s="100"/>
      <c r="H45" s="100">
        <f>F45*AE45</f>
        <v>0</v>
      </c>
      <c r="I45" s="100">
        <f>J45-H45</f>
        <v>0</v>
      </c>
      <c r="J45" s="100">
        <f>F45*G45</f>
        <v>0</v>
      </c>
      <c r="K45" s="100">
        <v>0.005</v>
      </c>
      <c r="L45" s="100">
        <f>F45*K45</f>
        <v>0.505</v>
      </c>
      <c r="M45" s="101" t="s">
        <v>112</v>
      </c>
      <c r="N45" s="102" t="s">
        <v>106</v>
      </c>
      <c r="O45" s="103">
        <f>IF(N45="5",I45,0)</f>
        <v>0</v>
      </c>
      <c r="Z45" s="103">
        <f>IF(AD45=0,J45,0)</f>
        <v>0</v>
      </c>
      <c r="AA45" s="103">
        <f>IF(AD45=15,J45,0)</f>
        <v>0</v>
      </c>
      <c r="AB45" s="103">
        <f>IF(AD45=21,J45,0)</f>
        <v>0</v>
      </c>
      <c r="AD45" s="103">
        <v>21</v>
      </c>
      <c r="AE45" s="103">
        <f>G45*0.41006993006993</f>
        <v>0</v>
      </c>
      <c r="AF45" s="103">
        <f>G45*(1-0.41006993006993)</f>
        <v>0</v>
      </c>
      <c r="AM45" s="103">
        <f>F45*AE45</f>
        <v>0</v>
      </c>
      <c r="AN45" s="103">
        <f>F45*AF45</f>
        <v>0</v>
      </c>
      <c r="AO45" s="102" t="s">
        <v>179</v>
      </c>
      <c r="AP45" s="102" t="s">
        <v>167</v>
      </c>
      <c r="AQ45" s="89" t="s">
        <v>115</v>
      </c>
    </row>
    <row r="46" spans="1:13" ht="12.75">
      <c r="A46" s="104"/>
      <c r="B46" s="104"/>
      <c r="C46" s="104"/>
      <c r="D46" s="105" t="s">
        <v>184</v>
      </c>
      <c r="E46" s="104"/>
      <c r="F46" s="106">
        <v>101</v>
      </c>
      <c r="G46" s="104"/>
      <c r="H46" s="104"/>
      <c r="I46" s="104"/>
      <c r="J46" s="104"/>
      <c r="K46" s="104"/>
      <c r="L46" s="104"/>
      <c r="M46" s="104"/>
    </row>
    <row r="47" spans="1:43" ht="12.75">
      <c r="A47" s="67" t="s">
        <v>185</v>
      </c>
      <c r="B47" s="67" t="s">
        <v>104</v>
      </c>
      <c r="C47" s="67" t="s">
        <v>186</v>
      </c>
      <c r="D47" s="67" t="s">
        <v>187</v>
      </c>
      <c r="E47" s="67" t="s">
        <v>111</v>
      </c>
      <c r="F47" s="99">
        <v>14.14</v>
      </c>
      <c r="G47" s="100"/>
      <c r="H47" s="100">
        <f>F47*AE47</f>
        <v>0</v>
      </c>
      <c r="I47" s="100">
        <f>J47-H47</f>
        <v>0</v>
      </c>
      <c r="J47" s="100">
        <f>F47*G47</f>
        <v>0</v>
      </c>
      <c r="K47" s="100">
        <v>0</v>
      </c>
      <c r="L47" s="100">
        <f>F47*K47</f>
        <v>0</v>
      </c>
      <c r="M47" s="101" t="s">
        <v>112</v>
      </c>
      <c r="N47" s="102" t="s">
        <v>106</v>
      </c>
      <c r="O47" s="103">
        <f>IF(N47="5",I47,0)</f>
        <v>0</v>
      </c>
      <c r="Z47" s="103">
        <f>IF(AD47=0,J47,0)</f>
        <v>0</v>
      </c>
      <c r="AA47" s="103">
        <f>IF(AD47=15,J47,0)</f>
        <v>0</v>
      </c>
      <c r="AB47" s="103">
        <f>IF(AD47=21,J47,0)</f>
        <v>0</v>
      </c>
      <c r="AD47" s="103">
        <v>21</v>
      </c>
      <c r="AE47" s="103">
        <f>G47*0</f>
        <v>0</v>
      </c>
      <c r="AF47" s="103">
        <f>G47*(1-0)</f>
        <v>0</v>
      </c>
      <c r="AM47" s="103">
        <f>F47*AE47</f>
        <v>0</v>
      </c>
      <c r="AN47" s="103">
        <f>F47*AF47</f>
        <v>0</v>
      </c>
      <c r="AO47" s="102" t="s">
        <v>179</v>
      </c>
      <c r="AP47" s="102" t="s">
        <v>167</v>
      </c>
      <c r="AQ47" s="89" t="s">
        <v>115</v>
      </c>
    </row>
    <row r="48" spans="1:13" ht="12.75">
      <c r="A48" s="104"/>
      <c r="B48" s="104"/>
      <c r="C48" s="104"/>
      <c r="D48" s="105" t="s">
        <v>188</v>
      </c>
      <c r="E48" s="104"/>
      <c r="F48" s="106">
        <v>14.14</v>
      </c>
      <c r="G48" s="104"/>
      <c r="H48" s="104"/>
      <c r="I48" s="104"/>
      <c r="J48" s="104"/>
      <c r="K48" s="104"/>
      <c r="L48" s="104"/>
      <c r="M48" s="104"/>
    </row>
    <row r="49" spans="1:43" ht="12.75">
      <c r="A49" s="67" t="s">
        <v>189</v>
      </c>
      <c r="B49" s="67" t="s">
        <v>104</v>
      </c>
      <c r="C49" s="67" t="s">
        <v>190</v>
      </c>
      <c r="D49" s="67" t="s">
        <v>191</v>
      </c>
      <c r="E49" s="67" t="s">
        <v>147</v>
      </c>
      <c r="F49" s="99">
        <v>0.56</v>
      </c>
      <c r="G49" s="100"/>
      <c r="H49" s="100">
        <f>F49*AE49</f>
        <v>0</v>
      </c>
      <c r="I49" s="100">
        <f>J49-H49</f>
        <v>0</v>
      </c>
      <c r="J49" s="100">
        <f>F49*G49</f>
        <v>0</v>
      </c>
      <c r="K49" s="100">
        <v>1.05301</v>
      </c>
      <c r="L49" s="100">
        <f>F49*K49</f>
        <v>0.5896856</v>
      </c>
      <c r="M49" s="101" t="s">
        <v>112</v>
      </c>
      <c r="N49" s="102" t="s">
        <v>106</v>
      </c>
      <c r="O49" s="103">
        <f>IF(N49="5",I49,0)</f>
        <v>0</v>
      </c>
      <c r="Z49" s="103">
        <f>IF(AD49=0,J49,0)</f>
        <v>0</v>
      </c>
      <c r="AA49" s="103">
        <f>IF(AD49=15,J49,0)</f>
        <v>0</v>
      </c>
      <c r="AB49" s="103">
        <f>IF(AD49=21,J49,0)</f>
        <v>0</v>
      </c>
      <c r="AD49" s="103">
        <v>21</v>
      </c>
      <c r="AE49" s="103">
        <f>G49*0.810551076320939</f>
        <v>0</v>
      </c>
      <c r="AF49" s="103">
        <f>G49*(1-0.810551076320939)</f>
        <v>0</v>
      </c>
      <c r="AM49" s="103">
        <f>F49*AE49</f>
        <v>0</v>
      </c>
      <c r="AN49" s="103">
        <f>F49*AF49</f>
        <v>0</v>
      </c>
      <c r="AO49" s="102" t="s">
        <v>179</v>
      </c>
      <c r="AP49" s="102" t="s">
        <v>167</v>
      </c>
      <c r="AQ49" s="89" t="s">
        <v>115</v>
      </c>
    </row>
    <row r="50" spans="1:13" ht="12.75">
      <c r="A50" s="104"/>
      <c r="B50" s="104"/>
      <c r="C50" s="104"/>
      <c r="D50" s="105" t="s">
        <v>192</v>
      </c>
      <c r="E50" s="104"/>
      <c r="F50" s="106">
        <v>0.56</v>
      </c>
      <c r="G50" s="104"/>
      <c r="H50" s="104"/>
      <c r="I50" s="104"/>
      <c r="J50" s="104"/>
      <c r="K50" s="104"/>
      <c r="L50" s="104"/>
      <c r="M50" s="104"/>
    </row>
    <row r="51" spans="1:43" ht="12.75">
      <c r="A51" s="67" t="s">
        <v>193</v>
      </c>
      <c r="B51" s="67" t="s">
        <v>104</v>
      </c>
      <c r="C51" s="67" t="s">
        <v>194</v>
      </c>
      <c r="D51" s="67" t="s">
        <v>195</v>
      </c>
      <c r="E51" s="67" t="s">
        <v>139</v>
      </c>
      <c r="F51" s="99">
        <v>60.18</v>
      </c>
      <c r="G51" s="100"/>
      <c r="H51" s="100">
        <f>F51*AE51</f>
        <v>0</v>
      </c>
      <c r="I51" s="100">
        <f>J51-H51</f>
        <v>0</v>
      </c>
      <c r="J51" s="100">
        <f>F51*G51</f>
        <v>0</v>
      </c>
      <c r="K51" s="100">
        <v>0.00128</v>
      </c>
      <c r="L51" s="100">
        <f>F51*K51</f>
        <v>0.07703040000000001</v>
      </c>
      <c r="M51" s="101" t="s">
        <v>112</v>
      </c>
      <c r="N51" s="102" t="s">
        <v>106</v>
      </c>
      <c r="O51" s="103">
        <f>IF(N51="5",I51,0)</f>
        <v>0</v>
      </c>
      <c r="Z51" s="103">
        <f>IF(AD51=0,J51,0)</f>
        <v>0</v>
      </c>
      <c r="AA51" s="103">
        <f>IF(AD51=15,J51,0)</f>
        <v>0</v>
      </c>
      <c r="AB51" s="103">
        <f>IF(AD51=21,J51,0)</f>
        <v>0</v>
      </c>
      <c r="AD51" s="103">
        <v>21</v>
      </c>
      <c r="AE51" s="103">
        <f>G51*0.418888042650419</f>
        <v>0</v>
      </c>
      <c r="AF51" s="103">
        <f>G51*(1-0.418888042650419)</f>
        <v>0</v>
      </c>
      <c r="AM51" s="103">
        <f>F51*AE51</f>
        <v>0</v>
      </c>
      <c r="AN51" s="103">
        <f>F51*AF51</f>
        <v>0</v>
      </c>
      <c r="AO51" s="102" t="s">
        <v>179</v>
      </c>
      <c r="AP51" s="102" t="s">
        <v>167</v>
      </c>
      <c r="AQ51" s="89" t="s">
        <v>115</v>
      </c>
    </row>
    <row r="52" spans="1:13" ht="12.75">
      <c r="A52" s="104"/>
      <c r="B52" s="104"/>
      <c r="C52" s="104"/>
      <c r="D52" s="105" t="s">
        <v>196</v>
      </c>
      <c r="E52" s="104"/>
      <c r="F52" s="106">
        <v>60.18</v>
      </c>
      <c r="G52" s="104"/>
      <c r="H52" s="104"/>
      <c r="I52" s="104"/>
      <c r="J52" s="104"/>
      <c r="K52" s="104"/>
      <c r="L52" s="104"/>
      <c r="M52" s="104"/>
    </row>
    <row r="53" spans="1:43" ht="12.75">
      <c r="A53" s="67" t="s">
        <v>197</v>
      </c>
      <c r="B53" s="67" t="s">
        <v>104</v>
      </c>
      <c r="C53" s="67" t="s">
        <v>198</v>
      </c>
      <c r="D53" s="67" t="s">
        <v>199</v>
      </c>
      <c r="E53" s="67" t="s">
        <v>123</v>
      </c>
      <c r="F53" s="99">
        <v>101</v>
      </c>
      <c r="G53" s="100"/>
      <c r="H53" s="100">
        <f>F53*AE53</f>
        <v>0</v>
      </c>
      <c r="I53" s="100">
        <f>J53-H53</f>
        <v>0</v>
      </c>
      <c r="J53" s="100">
        <f>F53*G53</f>
        <v>0</v>
      </c>
      <c r="K53" s="100">
        <v>0.01464</v>
      </c>
      <c r="L53" s="100">
        <f>F53*K53</f>
        <v>1.47864</v>
      </c>
      <c r="M53" s="101" t="s">
        <v>112</v>
      </c>
      <c r="N53" s="102" t="s">
        <v>106</v>
      </c>
      <c r="O53" s="103">
        <f>IF(N53="5",I53,0)</f>
        <v>0</v>
      </c>
      <c r="Z53" s="103">
        <f>IF(AD53=0,J53,0)</f>
        <v>0</v>
      </c>
      <c r="AA53" s="103">
        <f>IF(AD53=15,J53,0)</f>
        <v>0</v>
      </c>
      <c r="AB53" s="103">
        <f>IF(AD53=21,J53,0)</f>
        <v>0</v>
      </c>
      <c r="AD53" s="103">
        <v>21</v>
      </c>
      <c r="AE53" s="103">
        <f>G53*0.934112676056338</f>
        <v>0</v>
      </c>
      <c r="AF53" s="103">
        <f>G53*(1-0.934112676056338)</f>
        <v>0</v>
      </c>
      <c r="AM53" s="103">
        <f>F53*AE53</f>
        <v>0</v>
      </c>
      <c r="AN53" s="103">
        <f>F53*AF53</f>
        <v>0</v>
      </c>
      <c r="AO53" s="102" t="s">
        <v>179</v>
      </c>
      <c r="AP53" s="102" t="s">
        <v>167</v>
      </c>
      <c r="AQ53" s="89" t="s">
        <v>115</v>
      </c>
    </row>
    <row r="54" spans="1:13" ht="12.75">
      <c r="A54" s="104"/>
      <c r="B54" s="104"/>
      <c r="C54" s="104"/>
      <c r="D54" s="105" t="s">
        <v>184</v>
      </c>
      <c r="E54" s="104"/>
      <c r="F54" s="106">
        <v>101</v>
      </c>
      <c r="G54" s="104"/>
      <c r="H54" s="104"/>
      <c r="I54" s="104"/>
      <c r="J54" s="104"/>
      <c r="K54" s="104"/>
      <c r="L54" s="104"/>
      <c r="M54" s="104"/>
    </row>
    <row r="55" spans="1:43" ht="12.75">
      <c r="A55" s="67" t="s">
        <v>200</v>
      </c>
      <c r="B55" s="67" t="s">
        <v>104</v>
      </c>
      <c r="C55" s="67" t="s">
        <v>201</v>
      </c>
      <c r="D55" s="67" t="s">
        <v>202</v>
      </c>
      <c r="E55" s="67" t="s">
        <v>203</v>
      </c>
      <c r="F55" s="99">
        <v>1</v>
      </c>
      <c r="G55" s="100"/>
      <c r="H55" s="100">
        <f>F55*AE55</f>
        <v>0</v>
      </c>
      <c r="I55" s="100">
        <f>J55-H55</f>
        <v>0</v>
      </c>
      <c r="J55" s="100">
        <f>F55*G55</f>
        <v>0</v>
      </c>
      <c r="K55" s="100">
        <v>1.05</v>
      </c>
      <c r="L55" s="100">
        <f>F55*K55</f>
        <v>1.05</v>
      </c>
      <c r="M55" s="101" t="s">
        <v>112</v>
      </c>
      <c r="N55" s="102" t="s">
        <v>106</v>
      </c>
      <c r="O55" s="103">
        <f>IF(N55="5",I55,0)</f>
        <v>0</v>
      </c>
      <c r="Z55" s="103">
        <f>IF(AD55=0,J55,0)</f>
        <v>0</v>
      </c>
      <c r="AA55" s="103">
        <f>IF(AD55=15,J55,0)</f>
        <v>0</v>
      </c>
      <c r="AB55" s="103">
        <f>IF(AD55=21,J55,0)</f>
        <v>0</v>
      </c>
      <c r="AD55" s="103">
        <v>21</v>
      </c>
      <c r="AE55" s="103">
        <f>G55*0.52</f>
        <v>0</v>
      </c>
      <c r="AF55" s="103">
        <f>G55*(1-0.52)</f>
        <v>0</v>
      </c>
      <c r="AM55" s="103">
        <f>F55*AE55</f>
        <v>0</v>
      </c>
      <c r="AN55" s="103">
        <f>F55*AF55</f>
        <v>0</v>
      </c>
      <c r="AO55" s="102" t="s">
        <v>179</v>
      </c>
      <c r="AP55" s="102" t="s">
        <v>167</v>
      </c>
      <c r="AQ55" s="89" t="s">
        <v>115</v>
      </c>
    </row>
    <row r="56" spans="1:13" ht="12.75">
      <c r="A56" s="104"/>
      <c r="B56" s="104"/>
      <c r="C56" s="104"/>
      <c r="D56" s="105" t="s">
        <v>106</v>
      </c>
      <c r="E56" s="104"/>
      <c r="F56" s="106">
        <v>1</v>
      </c>
      <c r="G56" s="104"/>
      <c r="H56" s="104"/>
      <c r="I56" s="104"/>
      <c r="J56" s="104"/>
      <c r="K56" s="104"/>
      <c r="L56" s="104"/>
      <c r="M56" s="104"/>
    </row>
    <row r="57" spans="1:37" ht="12.75">
      <c r="A57" s="94"/>
      <c r="B57" s="95" t="s">
        <v>104</v>
      </c>
      <c r="C57" s="95" t="s">
        <v>204</v>
      </c>
      <c r="D57" s="95" t="s">
        <v>205</v>
      </c>
      <c r="E57" s="95"/>
      <c r="F57" s="95"/>
      <c r="G57" s="95"/>
      <c r="H57" s="96">
        <f>SUM(H58:H61)</f>
        <v>0</v>
      </c>
      <c r="I57" s="96">
        <f>SUM(I58:I61)</f>
        <v>0</v>
      </c>
      <c r="J57" s="96">
        <f>H57+I57</f>
        <v>0</v>
      </c>
      <c r="K57" s="97"/>
      <c r="L57" s="96">
        <f>SUM(L58:L61)</f>
        <v>0.24075689999999997</v>
      </c>
      <c r="M57" s="97"/>
      <c r="P57" s="98">
        <f>IF(Q57="PR",J57,SUM(O58:O61))</f>
        <v>0</v>
      </c>
      <c r="Q57" s="89" t="s">
        <v>108</v>
      </c>
      <c r="R57" s="98">
        <f>IF(Q57="HS",H57,0)</f>
        <v>0</v>
      </c>
      <c r="S57" s="98">
        <f>IF(Q57="HS",I57-P57,0)</f>
        <v>0</v>
      </c>
      <c r="T57" s="98">
        <f>IF(Q57="PS",H57,0)</f>
        <v>0</v>
      </c>
      <c r="U57" s="98">
        <f>IF(Q57="PS",I57-P57,0)</f>
        <v>0</v>
      </c>
      <c r="V57" s="98">
        <f>IF(Q57="MP",H57,0)</f>
        <v>0</v>
      </c>
      <c r="W57" s="98">
        <f>IF(Q57="MP",I57-P57,0)</f>
        <v>0</v>
      </c>
      <c r="X57" s="98">
        <f>IF(Q57="OM",H57,0)</f>
        <v>0</v>
      </c>
      <c r="Y57" s="89" t="s">
        <v>104</v>
      </c>
      <c r="AI57" s="98">
        <f>SUM(Z58:Z61)</f>
        <v>0</v>
      </c>
      <c r="AJ57" s="98">
        <f>SUM(AA58:AA61)</f>
        <v>0</v>
      </c>
      <c r="AK57" s="98">
        <f>SUM(AB58:AB61)</f>
        <v>0</v>
      </c>
    </row>
    <row r="58" spans="1:43" ht="12.75">
      <c r="A58" s="67" t="s">
        <v>206</v>
      </c>
      <c r="B58" s="67" t="s">
        <v>104</v>
      </c>
      <c r="C58" s="67" t="s">
        <v>207</v>
      </c>
      <c r="D58" s="67" t="s">
        <v>208</v>
      </c>
      <c r="E58" s="67" t="s">
        <v>123</v>
      </c>
      <c r="F58" s="99">
        <v>0.93</v>
      </c>
      <c r="G58" s="100"/>
      <c r="H58" s="100">
        <f>F58*AE58</f>
        <v>0</v>
      </c>
      <c r="I58" s="100">
        <f>J58-H58</f>
        <v>0</v>
      </c>
      <c r="J58" s="100">
        <f>F58*G58</f>
        <v>0</v>
      </c>
      <c r="K58" s="100">
        <v>0.072</v>
      </c>
      <c r="L58" s="100">
        <f>F58*K58</f>
        <v>0.06695999999999999</v>
      </c>
      <c r="M58" s="101" t="s">
        <v>112</v>
      </c>
      <c r="N58" s="102" t="s">
        <v>106</v>
      </c>
      <c r="O58" s="103">
        <f>IF(N58="5",I58,0)</f>
        <v>0</v>
      </c>
      <c r="Z58" s="103">
        <f>IF(AD58=0,J58,0)</f>
        <v>0</v>
      </c>
      <c r="AA58" s="103">
        <f>IF(AD58=15,J58,0)</f>
        <v>0</v>
      </c>
      <c r="AB58" s="103">
        <f>IF(AD58=21,J58,0)</f>
        <v>0</v>
      </c>
      <c r="AD58" s="103">
        <v>21</v>
      </c>
      <c r="AE58" s="103">
        <f>G58*0.170583941605839</f>
        <v>0</v>
      </c>
      <c r="AF58" s="103">
        <f>G58*(1-0.170583941605839)</f>
        <v>0</v>
      </c>
      <c r="AM58" s="103">
        <f>F58*AE58</f>
        <v>0</v>
      </c>
      <c r="AN58" s="103">
        <f>F58*AF58</f>
        <v>0</v>
      </c>
      <c r="AO58" s="102" t="s">
        <v>209</v>
      </c>
      <c r="AP58" s="102" t="s">
        <v>167</v>
      </c>
      <c r="AQ58" s="89" t="s">
        <v>115</v>
      </c>
    </row>
    <row r="59" spans="1:13" ht="12.75">
      <c r="A59" s="104"/>
      <c r="B59" s="104"/>
      <c r="C59" s="104"/>
      <c r="D59" s="105" t="s">
        <v>210</v>
      </c>
      <c r="E59" s="104"/>
      <c r="F59" s="106">
        <v>0.93</v>
      </c>
      <c r="G59" s="104"/>
      <c r="H59" s="104"/>
      <c r="I59" s="104"/>
      <c r="J59" s="104"/>
      <c r="K59" s="104"/>
      <c r="L59" s="104"/>
      <c r="M59" s="104"/>
    </row>
    <row r="60" spans="1:13" ht="12.75" customHeight="1">
      <c r="A60" s="104"/>
      <c r="B60" s="104"/>
      <c r="C60" s="107" t="s">
        <v>64</v>
      </c>
      <c r="D60" s="108" t="s">
        <v>211</v>
      </c>
      <c r="E60" s="108"/>
      <c r="F60" s="108"/>
      <c r="G60" s="108"/>
      <c r="H60" s="108"/>
      <c r="I60" s="108"/>
      <c r="J60" s="108"/>
      <c r="K60" s="108"/>
      <c r="L60" s="108"/>
      <c r="M60" s="108"/>
    </row>
    <row r="61" spans="1:43" ht="12.75">
      <c r="A61" s="67" t="s">
        <v>212</v>
      </c>
      <c r="B61" s="67" t="s">
        <v>104</v>
      </c>
      <c r="C61" s="67" t="s">
        <v>213</v>
      </c>
      <c r="D61" s="67" t="s">
        <v>214</v>
      </c>
      <c r="E61" s="67" t="s">
        <v>139</v>
      </c>
      <c r="F61" s="99">
        <v>34.69</v>
      </c>
      <c r="G61" s="100"/>
      <c r="H61" s="100">
        <f>F61*AE61</f>
        <v>0</v>
      </c>
      <c r="I61" s="100">
        <f>J61-H61</f>
        <v>0</v>
      </c>
      <c r="J61" s="100">
        <f>F61*G61</f>
        <v>0</v>
      </c>
      <c r="K61" s="100">
        <v>0.00501</v>
      </c>
      <c r="L61" s="100">
        <f>F61*K61</f>
        <v>0.17379689999999998</v>
      </c>
      <c r="M61" s="101" t="s">
        <v>112</v>
      </c>
      <c r="N61" s="102" t="s">
        <v>106</v>
      </c>
      <c r="O61" s="103">
        <f>IF(N61="5",I61,0)</f>
        <v>0</v>
      </c>
      <c r="Z61" s="103">
        <f>IF(AD61=0,J61,0)</f>
        <v>0</v>
      </c>
      <c r="AA61" s="103">
        <f>IF(AD61=15,J61,0)</f>
        <v>0</v>
      </c>
      <c r="AB61" s="103">
        <f>IF(AD61=21,J61,0)</f>
        <v>0</v>
      </c>
      <c r="AD61" s="103">
        <v>21</v>
      </c>
      <c r="AE61" s="103">
        <f>G61*0.621621621621622</f>
        <v>0</v>
      </c>
      <c r="AF61" s="103">
        <f>G61*(1-0.621621621621622)</f>
        <v>0</v>
      </c>
      <c r="AM61" s="103">
        <f>F61*AE61</f>
        <v>0</v>
      </c>
      <c r="AN61" s="103">
        <f>F61*AF61</f>
        <v>0</v>
      </c>
      <c r="AO61" s="102" t="s">
        <v>209</v>
      </c>
      <c r="AP61" s="102" t="s">
        <v>167</v>
      </c>
      <c r="AQ61" s="89" t="s">
        <v>115</v>
      </c>
    </row>
    <row r="62" spans="1:13" ht="12.75">
      <c r="A62" s="104"/>
      <c r="B62" s="104"/>
      <c r="C62" s="104"/>
      <c r="D62" s="105" t="s">
        <v>215</v>
      </c>
      <c r="E62" s="104"/>
      <c r="F62" s="106">
        <v>34.69</v>
      </c>
      <c r="G62" s="104"/>
      <c r="H62" s="104"/>
      <c r="I62" s="104"/>
      <c r="J62" s="104"/>
      <c r="K62" s="104"/>
      <c r="L62" s="104"/>
      <c r="M62" s="104"/>
    </row>
    <row r="63" spans="1:37" ht="12.75">
      <c r="A63" s="94"/>
      <c r="B63" s="95" t="s">
        <v>104</v>
      </c>
      <c r="C63" s="95" t="s">
        <v>216</v>
      </c>
      <c r="D63" s="95" t="s">
        <v>217</v>
      </c>
      <c r="E63" s="95"/>
      <c r="F63" s="95"/>
      <c r="G63" s="95"/>
      <c r="H63" s="96">
        <f>SUM(H64:H68)</f>
        <v>0</v>
      </c>
      <c r="I63" s="96">
        <f>SUM(I64:I68)</f>
        <v>0</v>
      </c>
      <c r="J63" s="96">
        <f>H63+I63</f>
        <v>0</v>
      </c>
      <c r="K63" s="97"/>
      <c r="L63" s="96">
        <f>SUM(L64:L68)</f>
        <v>0.15598</v>
      </c>
      <c r="M63" s="97"/>
      <c r="P63" s="98">
        <f>IF(Q63="PR",J63,SUM(O64:O68))</f>
        <v>0</v>
      </c>
      <c r="Q63" s="89" t="s">
        <v>108</v>
      </c>
      <c r="R63" s="98">
        <f>IF(Q63="HS",H63,0)</f>
        <v>0</v>
      </c>
      <c r="S63" s="98">
        <f>IF(Q63="HS",I63-P63,0)</f>
        <v>0</v>
      </c>
      <c r="T63" s="98">
        <f>IF(Q63="PS",H63,0)</f>
        <v>0</v>
      </c>
      <c r="U63" s="98">
        <f>IF(Q63="PS",I63-P63,0)</f>
        <v>0</v>
      </c>
      <c r="V63" s="98">
        <f>IF(Q63="MP",H63,0)</f>
        <v>0</v>
      </c>
      <c r="W63" s="98">
        <f>IF(Q63="MP",I63-P63,0)</f>
        <v>0</v>
      </c>
      <c r="X63" s="98">
        <f>IF(Q63="OM",H63,0)</f>
        <v>0</v>
      </c>
      <c r="Y63" s="89" t="s">
        <v>104</v>
      </c>
      <c r="AI63" s="98">
        <f>SUM(Z64:Z68)</f>
        <v>0</v>
      </c>
      <c r="AJ63" s="98">
        <f>SUM(AA64:AA68)</f>
        <v>0</v>
      </c>
      <c r="AK63" s="98">
        <f>SUM(AB64:AB68)</f>
        <v>0</v>
      </c>
    </row>
    <row r="64" spans="1:43" ht="12.75">
      <c r="A64" s="67" t="s">
        <v>218</v>
      </c>
      <c r="B64" s="67" t="s">
        <v>104</v>
      </c>
      <c r="C64" s="67" t="s">
        <v>219</v>
      </c>
      <c r="D64" s="67" t="s">
        <v>220</v>
      </c>
      <c r="E64" s="67" t="s">
        <v>123</v>
      </c>
      <c r="F64" s="99">
        <v>2</v>
      </c>
      <c r="G64" s="100"/>
      <c r="H64" s="100">
        <f>F64*AE64</f>
        <v>0</v>
      </c>
      <c r="I64" s="100">
        <f>J64-H64</f>
        <v>0</v>
      </c>
      <c r="J64" s="100">
        <f>F64*G64</f>
        <v>0</v>
      </c>
      <c r="K64" s="100">
        <v>0.04145</v>
      </c>
      <c r="L64" s="100">
        <f>F64*K64</f>
        <v>0.0829</v>
      </c>
      <c r="M64" s="101" t="s">
        <v>112</v>
      </c>
      <c r="N64" s="102" t="s">
        <v>106</v>
      </c>
      <c r="O64" s="103">
        <f>IF(N64="5",I64,0)</f>
        <v>0</v>
      </c>
      <c r="Z64" s="103">
        <f>IF(AD64=0,J64,0)</f>
        <v>0</v>
      </c>
      <c r="AA64" s="103">
        <f>IF(AD64=15,J64,0)</f>
        <v>0</v>
      </c>
      <c r="AB64" s="103">
        <f>IF(AD64=21,J64,0)</f>
        <v>0</v>
      </c>
      <c r="AD64" s="103">
        <v>21</v>
      </c>
      <c r="AE64" s="103">
        <f>G64*0.306613545816733</f>
        <v>0</v>
      </c>
      <c r="AF64" s="103">
        <f>G64*(1-0.306613545816733)</f>
        <v>0</v>
      </c>
      <c r="AM64" s="103">
        <f>F64*AE64</f>
        <v>0</v>
      </c>
      <c r="AN64" s="103">
        <f>F64*AF64</f>
        <v>0</v>
      </c>
      <c r="AO64" s="102" t="s">
        <v>221</v>
      </c>
      <c r="AP64" s="102" t="s">
        <v>222</v>
      </c>
      <c r="AQ64" s="89" t="s">
        <v>115</v>
      </c>
    </row>
    <row r="65" spans="1:13" ht="12.75">
      <c r="A65" s="104"/>
      <c r="B65" s="104"/>
      <c r="C65" s="104"/>
      <c r="D65" s="105" t="s">
        <v>223</v>
      </c>
      <c r="E65" s="104"/>
      <c r="F65" s="106">
        <v>2</v>
      </c>
      <c r="G65" s="104"/>
      <c r="H65" s="104"/>
      <c r="I65" s="104"/>
      <c r="J65" s="104"/>
      <c r="K65" s="104"/>
      <c r="L65" s="104"/>
      <c r="M65" s="104"/>
    </row>
    <row r="66" spans="1:43" ht="12.75">
      <c r="A66" s="67" t="s">
        <v>224</v>
      </c>
      <c r="B66" s="67" t="s">
        <v>104</v>
      </c>
      <c r="C66" s="67" t="s">
        <v>225</v>
      </c>
      <c r="D66" s="67" t="s">
        <v>226</v>
      </c>
      <c r="E66" s="67" t="s">
        <v>123</v>
      </c>
      <c r="F66" s="99">
        <v>2.1</v>
      </c>
      <c r="G66" s="100"/>
      <c r="H66" s="100">
        <f>F66*AE66</f>
        <v>0</v>
      </c>
      <c r="I66" s="100">
        <f>J66-H66</f>
        <v>0</v>
      </c>
      <c r="J66" s="100">
        <f>F66*G66</f>
        <v>0</v>
      </c>
      <c r="K66" s="100">
        <v>0.0348</v>
      </c>
      <c r="L66" s="100">
        <f>F66*K66</f>
        <v>0.07307999999999999</v>
      </c>
      <c r="M66" s="101" t="s">
        <v>112</v>
      </c>
      <c r="N66" s="102" t="s">
        <v>106</v>
      </c>
      <c r="O66" s="103">
        <f>IF(N66="5",I66,0)</f>
        <v>0</v>
      </c>
      <c r="Z66" s="103">
        <f>IF(AD66=0,J66,0)</f>
        <v>0</v>
      </c>
      <c r="AA66" s="103">
        <f>IF(AD66=15,J66,0)</f>
        <v>0</v>
      </c>
      <c r="AB66" s="103">
        <f>IF(AD66=21,J66,0)</f>
        <v>0</v>
      </c>
      <c r="AD66" s="103">
        <v>21</v>
      </c>
      <c r="AE66" s="103">
        <f>G66*0.313344594594595</f>
        <v>0</v>
      </c>
      <c r="AF66" s="103">
        <f>G66*(1-0.313344594594595)</f>
        <v>0</v>
      </c>
      <c r="AM66" s="103">
        <f>F66*AE66</f>
        <v>0</v>
      </c>
      <c r="AN66" s="103">
        <f>F66*AF66</f>
        <v>0</v>
      </c>
      <c r="AO66" s="102" t="s">
        <v>221</v>
      </c>
      <c r="AP66" s="102" t="s">
        <v>222</v>
      </c>
      <c r="AQ66" s="89" t="s">
        <v>115</v>
      </c>
    </row>
    <row r="67" spans="1:13" ht="12.75">
      <c r="A67" s="104"/>
      <c r="B67" s="104"/>
      <c r="C67" s="104"/>
      <c r="D67" s="105" t="s">
        <v>227</v>
      </c>
      <c r="E67" s="104"/>
      <c r="F67" s="106">
        <v>2.1</v>
      </c>
      <c r="G67" s="104"/>
      <c r="H67" s="104"/>
      <c r="I67" s="104"/>
      <c r="J67" s="104"/>
      <c r="K67" s="104"/>
      <c r="L67" s="104"/>
      <c r="M67" s="104"/>
    </row>
    <row r="68" spans="1:43" ht="12.75">
      <c r="A68" s="67" t="s">
        <v>228</v>
      </c>
      <c r="B68" s="67" t="s">
        <v>104</v>
      </c>
      <c r="C68" s="67" t="s">
        <v>229</v>
      </c>
      <c r="D68" s="67" t="s">
        <v>230</v>
      </c>
      <c r="E68" s="67" t="s">
        <v>123</v>
      </c>
      <c r="F68" s="99">
        <v>2</v>
      </c>
      <c r="G68" s="100"/>
      <c r="H68" s="100">
        <f>F68*AE68</f>
        <v>0</v>
      </c>
      <c r="I68" s="100">
        <f>J68-H68</f>
        <v>0</v>
      </c>
      <c r="J68" s="100">
        <f>F68*G68</f>
        <v>0</v>
      </c>
      <c r="K68" s="100">
        <v>0</v>
      </c>
      <c r="L68" s="100">
        <f>F68*K68</f>
        <v>0</v>
      </c>
      <c r="M68" s="101" t="s">
        <v>112</v>
      </c>
      <c r="N68" s="102" t="s">
        <v>106</v>
      </c>
      <c r="O68" s="103">
        <f>IF(N68="5",I68,0)</f>
        <v>0</v>
      </c>
      <c r="Z68" s="103">
        <f>IF(AD68=0,J68,0)</f>
        <v>0</v>
      </c>
      <c r="AA68" s="103">
        <f>IF(AD68=15,J68,0)</f>
        <v>0</v>
      </c>
      <c r="AB68" s="103">
        <f>IF(AD68=21,J68,0)</f>
        <v>0</v>
      </c>
      <c r="AD68" s="103">
        <v>21</v>
      </c>
      <c r="AE68" s="103">
        <f>G68*0</f>
        <v>0</v>
      </c>
      <c r="AF68" s="103">
        <f>G68*(1-0)</f>
        <v>0</v>
      </c>
      <c r="AM68" s="103">
        <f>F68*AE68</f>
        <v>0</v>
      </c>
      <c r="AN68" s="103">
        <f>F68*AF68</f>
        <v>0</v>
      </c>
      <c r="AO68" s="102" t="s">
        <v>221</v>
      </c>
      <c r="AP68" s="102" t="s">
        <v>222</v>
      </c>
      <c r="AQ68" s="89" t="s">
        <v>115</v>
      </c>
    </row>
    <row r="69" spans="1:13" ht="12.75">
      <c r="A69" s="104"/>
      <c r="B69" s="104"/>
      <c r="C69" s="104"/>
      <c r="D69" s="105" t="s">
        <v>223</v>
      </c>
      <c r="E69" s="104"/>
      <c r="F69" s="106">
        <v>2</v>
      </c>
      <c r="G69" s="104"/>
      <c r="H69" s="104"/>
      <c r="I69" s="104"/>
      <c r="J69" s="104"/>
      <c r="K69" s="104"/>
      <c r="L69" s="104"/>
      <c r="M69" s="104"/>
    </row>
    <row r="70" spans="1:37" ht="12.75">
      <c r="A70" s="94"/>
      <c r="B70" s="95" t="s">
        <v>104</v>
      </c>
      <c r="C70" s="95" t="s">
        <v>231</v>
      </c>
      <c r="D70" s="95" t="s">
        <v>232</v>
      </c>
      <c r="E70" s="95"/>
      <c r="F70" s="95"/>
      <c r="G70" s="95"/>
      <c r="H70" s="96">
        <f>SUM(H71:H81)</f>
        <v>0</v>
      </c>
      <c r="I70" s="96">
        <f>SUM(I71:I81)</f>
        <v>0</v>
      </c>
      <c r="J70" s="96">
        <f>H70+I70</f>
        <v>0</v>
      </c>
      <c r="K70" s="97"/>
      <c r="L70" s="96">
        <f>SUM(L71:L81)</f>
        <v>0.0094054</v>
      </c>
      <c r="M70" s="97"/>
      <c r="P70" s="98">
        <f>IF(Q70="PR",J70,SUM(O71:O81))</f>
        <v>0</v>
      </c>
      <c r="Q70" s="89" t="s">
        <v>233</v>
      </c>
      <c r="R70" s="98">
        <f>IF(Q70="HS",H70,0)</f>
        <v>0</v>
      </c>
      <c r="S70" s="98">
        <f>IF(Q70="HS",I70-P70,0)</f>
        <v>0</v>
      </c>
      <c r="T70" s="98">
        <f>IF(Q70="PS",H70,0)</f>
        <v>0</v>
      </c>
      <c r="U70" s="98">
        <f>IF(Q70="PS",I70-P70,0)</f>
        <v>0</v>
      </c>
      <c r="V70" s="98">
        <f>IF(Q70="MP",H70,0)</f>
        <v>0</v>
      </c>
      <c r="W70" s="98">
        <f>IF(Q70="MP",I70-P70,0)</f>
        <v>0</v>
      </c>
      <c r="X70" s="98">
        <f>IF(Q70="OM",H70,0)</f>
        <v>0</v>
      </c>
      <c r="Y70" s="89" t="s">
        <v>104</v>
      </c>
      <c r="AI70" s="98">
        <f>SUM(Z71:Z81)</f>
        <v>0</v>
      </c>
      <c r="AJ70" s="98">
        <f>SUM(AA71:AA81)</f>
        <v>0</v>
      </c>
      <c r="AK70" s="98">
        <f>SUM(AB71:AB81)</f>
        <v>0</v>
      </c>
    </row>
    <row r="71" spans="1:43" ht="12.75">
      <c r="A71" s="67" t="s">
        <v>234</v>
      </c>
      <c r="B71" s="67" t="s">
        <v>104</v>
      </c>
      <c r="C71" s="67" t="s">
        <v>235</v>
      </c>
      <c r="D71" s="67" t="s">
        <v>236</v>
      </c>
      <c r="E71" s="67" t="s">
        <v>139</v>
      </c>
      <c r="F71" s="99">
        <v>1.3</v>
      </c>
      <c r="G71" s="100"/>
      <c r="H71" s="100">
        <f>F71*AE71</f>
        <v>0</v>
      </c>
      <c r="I71" s="100">
        <f>J71-H71</f>
        <v>0</v>
      </c>
      <c r="J71" s="100">
        <f>F71*G71</f>
        <v>0</v>
      </c>
      <c r="K71" s="100">
        <v>0.00099</v>
      </c>
      <c r="L71" s="100">
        <f>F71*K71</f>
        <v>0.001287</v>
      </c>
      <c r="M71" s="101" t="s">
        <v>112</v>
      </c>
      <c r="N71" s="102" t="s">
        <v>106</v>
      </c>
      <c r="O71" s="103">
        <f>IF(N71="5",I71,0)</f>
        <v>0</v>
      </c>
      <c r="Z71" s="103">
        <f>IF(AD71=0,J71,0)</f>
        <v>0</v>
      </c>
      <c r="AA71" s="103">
        <f>IF(AD71=15,J71,0)</f>
        <v>0</v>
      </c>
      <c r="AB71" s="103">
        <f>IF(AD71=21,J71,0)</f>
        <v>0</v>
      </c>
      <c r="AD71" s="103">
        <v>21</v>
      </c>
      <c r="AE71" s="103">
        <f>G71*0.0469879518072289</f>
        <v>0</v>
      </c>
      <c r="AF71" s="103">
        <f>G71*(1-0.0469879518072289)</f>
        <v>0</v>
      </c>
      <c r="AM71" s="103">
        <f>F71*AE71</f>
        <v>0</v>
      </c>
      <c r="AN71" s="103">
        <f>F71*AF71</f>
        <v>0</v>
      </c>
      <c r="AO71" s="102" t="s">
        <v>237</v>
      </c>
      <c r="AP71" s="102" t="s">
        <v>238</v>
      </c>
      <c r="AQ71" s="89" t="s">
        <v>115</v>
      </c>
    </row>
    <row r="72" spans="1:13" ht="12.75">
      <c r="A72" s="104"/>
      <c r="B72" s="104"/>
      <c r="C72" s="104"/>
      <c r="D72" s="105" t="s">
        <v>239</v>
      </c>
      <c r="E72" s="104"/>
      <c r="F72" s="106">
        <v>1.3</v>
      </c>
      <c r="G72" s="104"/>
      <c r="H72" s="104"/>
      <c r="I72" s="104"/>
      <c r="J72" s="104"/>
      <c r="K72" s="104"/>
      <c r="L72" s="104"/>
      <c r="M72" s="104"/>
    </row>
    <row r="73" spans="1:43" ht="12.75">
      <c r="A73" s="109" t="s">
        <v>240</v>
      </c>
      <c r="B73" s="109" t="s">
        <v>104</v>
      </c>
      <c r="C73" s="109" t="s">
        <v>241</v>
      </c>
      <c r="D73" s="109" t="s">
        <v>242</v>
      </c>
      <c r="E73" s="109" t="s">
        <v>139</v>
      </c>
      <c r="F73" s="110">
        <v>1.43</v>
      </c>
      <c r="G73" s="111"/>
      <c r="H73" s="111">
        <f>F73*AE73</f>
        <v>0</v>
      </c>
      <c r="I73" s="111">
        <f>J73-H73</f>
        <v>0</v>
      </c>
      <c r="J73" s="111">
        <f>F73*G73</f>
        <v>0</v>
      </c>
      <c r="K73" s="111">
        <v>0.00132</v>
      </c>
      <c r="L73" s="111">
        <f>F73*K73</f>
        <v>0.0018876</v>
      </c>
      <c r="M73" s="112" t="s">
        <v>112</v>
      </c>
      <c r="N73" s="113" t="s">
        <v>243</v>
      </c>
      <c r="O73" s="114">
        <f>IF(N73="5",I73,0)</f>
        <v>0</v>
      </c>
      <c r="Z73" s="114">
        <f>IF(AD73=0,J73,0)</f>
        <v>0</v>
      </c>
      <c r="AA73" s="114">
        <f>IF(AD73=15,J73,0)</f>
        <v>0</v>
      </c>
      <c r="AB73" s="114">
        <f>IF(AD73=21,J73,0)</f>
        <v>0</v>
      </c>
      <c r="AD73" s="103">
        <v>21</v>
      </c>
      <c r="AE73" s="103">
        <f>G73*1</f>
        <v>0</v>
      </c>
      <c r="AF73" s="103">
        <f>G73*(1-1)</f>
        <v>0</v>
      </c>
      <c r="AM73" s="103">
        <f>F73*AE73</f>
        <v>0</v>
      </c>
      <c r="AN73" s="103">
        <f>F73*AF73</f>
        <v>0</v>
      </c>
      <c r="AO73" s="102" t="s">
        <v>237</v>
      </c>
      <c r="AP73" s="102" t="s">
        <v>238</v>
      </c>
      <c r="AQ73" s="89" t="s">
        <v>115</v>
      </c>
    </row>
    <row r="74" spans="1:13" ht="12.75">
      <c r="A74" s="104"/>
      <c r="B74" s="104"/>
      <c r="C74" s="104"/>
      <c r="D74" s="105" t="s">
        <v>239</v>
      </c>
      <c r="E74" s="104"/>
      <c r="F74" s="106">
        <v>1.3</v>
      </c>
      <c r="G74" s="104"/>
      <c r="H74" s="104"/>
      <c r="I74" s="104"/>
      <c r="J74" s="104"/>
      <c r="K74" s="104"/>
      <c r="L74" s="104"/>
      <c r="M74" s="104"/>
    </row>
    <row r="75" spans="1:13" ht="12.75">
      <c r="A75" s="104"/>
      <c r="B75" s="104"/>
      <c r="C75" s="104"/>
      <c r="D75" s="105" t="s">
        <v>244</v>
      </c>
      <c r="E75" s="104"/>
      <c r="F75" s="106">
        <v>0.13</v>
      </c>
      <c r="G75" s="104"/>
      <c r="H75" s="104"/>
      <c r="I75" s="104"/>
      <c r="J75" s="104"/>
      <c r="K75" s="104"/>
      <c r="L75" s="104"/>
      <c r="M75" s="104"/>
    </row>
    <row r="76" spans="1:43" ht="12.75">
      <c r="A76" s="67" t="s">
        <v>245</v>
      </c>
      <c r="B76" s="67" t="s">
        <v>104</v>
      </c>
      <c r="C76" s="67" t="s">
        <v>246</v>
      </c>
      <c r="D76" s="67" t="s">
        <v>247</v>
      </c>
      <c r="E76" s="67" t="s">
        <v>123</v>
      </c>
      <c r="F76" s="99">
        <v>0.39</v>
      </c>
      <c r="G76" s="100"/>
      <c r="H76" s="100">
        <f>F76*AE76</f>
        <v>0</v>
      </c>
      <c r="I76" s="100">
        <f>J76-H76</f>
        <v>0</v>
      </c>
      <c r="J76" s="100">
        <f>F76*G76</f>
        <v>0</v>
      </c>
      <c r="K76" s="100">
        <v>0</v>
      </c>
      <c r="L76" s="100">
        <f>F76*K76</f>
        <v>0</v>
      </c>
      <c r="M76" s="101" t="s">
        <v>112</v>
      </c>
      <c r="N76" s="102" t="s">
        <v>106</v>
      </c>
      <c r="O76" s="103">
        <f>IF(N76="5",I76,0)</f>
        <v>0</v>
      </c>
      <c r="Z76" s="103">
        <f>IF(AD76=0,J76,0)</f>
        <v>0</v>
      </c>
      <c r="AA76" s="103">
        <f>IF(AD76=15,J76,0)</f>
        <v>0</v>
      </c>
      <c r="AB76" s="103">
        <f>IF(AD76=21,J76,0)</f>
        <v>0</v>
      </c>
      <c r="AD76" s="103">
        <v>21</v>
      </c>
      <c r="AE76" s="103">
        <f>G76*0</f>
        <v>0</v>
      </c>
      <c r="AF76" s="103">
        <f>G76*(1-0)</f>
        <v>0</v>
      </c>
      <c r="AM76" s="103">
        <f>F76*AE76</f>
        <v>0</v>
      </c>
      <c r="AN76" s="103">
        <f>F76*AF76</f>
        <v>0</v>
      </c>
      <c r="AO76" s="102" t="s">
        <v>237</v>
      </c>
      <c r="AP76" s="102" t="s">
        <v>238</v>
      </c>
      <c r="AQ76" s="89" t="s">
        <v>115</v>
      </c>
    </row>
    <row r="77" spans="1:13" ht="12.75">
      <c r="A77" s="104"/>
      <c r="B77" s="104"/>
      <c r="C77" s="104"/>
      <c r="D77" s="105" t="s">
        <v>248</v>
      </c>
      <c r="E77" s="104"/>
      <c r="F77" s="106">
        <v>0.39</v>
      </c>
      <c r="G77" s="104"/>
      <c r="H77" s="104"/>
      <c r="I77" s="104"/>
      <c r="J77" s="104"/>
      <c r="K77" s="104"/>
      <c r="L77" s="104"/>
      <c r="M77" s="104"/>
    </row>
    <row r="78" spans="1:43" ht="12.75">
      <c r="A78" s="109" t="s">
        <v>249</v>
      </c>
      <c r="B78" s="109" t="s">
        <v>104</v>
      </c>
      <c r="C78" s="109" t="s">
        <v>250</v>
      </c>
      <c r="D78" s="109" t="s">
        <v>251</v>
      </c>
      <c r="E78" s="109" t="s">
        <v>123</v>
      </c>
      <c r="F78" s="110">
        <v>0.421</v>
      </c>
      <c r="G78" s="111"/>
      <c r="H78" s="111">
        <f>F78*AE78</f>
        <v>0</v>
      </c>
      <c r="I78" s="111">
        <f>J78-H78</f>
        <v>0</v>
      </c>
      <c r="J78" s="111">
        <f>F78*G78</f>
        <v>0</v>
      </c>
      <c r="K78" s="111">
        <v>0.0148</v>
      </c>
      <c r="L78" s="111">
        <f>F78*K78</f>
        <v>0.0062308</v>
      </c>
      <c r="M78" s="112" t="s">
        <v>112</v>
      </c>
      <c r="N78" s="113" t="s">
        <v>243</v>
      </c>
      <c r="O78" s="114">
        <f>IF(N78="5",I78,0)</f>
        <v>0</v>
      </c>
      <c r="Z78" s="114">
        <f>IF(AD78=0,J78,0)</f>
        <v>0</v>
      </c>
      <c r="AA78" s="114">
        <f>IF(AD78=15,J78,0)</f>
        <v>0</v>
      </c>
      <c r="AB78" s="114">
        <f>IF(AD78=21,J78,0)</f>
        <v>0</v>
      </c>
      <c r="AD78" s="103">
        <v>21</v>
      </c>
      <c r="AE78" s="103">
        <f>G78*1</f>
        <v>0</v>
      </c>
      <c r="AF78" s="103">
        <f>G78*(1-1)</f>
        <v>0</v>
      </c>
      <c r="AM78" s="103">
        <f>F78*AE78</f>
        <v>0</v>
      </c>
      <c r="AN78" s="103">
        <f>F78*AF78</f>
        <v>0</v>
      </c>
      <c r="AO78" s="102" t="s">
        <v>237</v>
      </c>
      <c r="AP78" s="102" t="s">
        <v>238</v>
      </c>
      <c r="AQ78" s="89" t="s">
        <v>115</v>
      </c>
    </row>
    <row r="79" spans="1:13" ht="12.75">
      <c r="A79" s="104"/>
      <c r="B79" s="104"/>
      <c r="C79" s="104"/>
      <c r="D79" s="105" t="s">
        <v>252</v>
      </c>
      <c r="E79" s="104"/>
      <c r="F79" s="106">
        <v>0.39</v>
      </c>
      <c r="G79" s="104"/>
      <c r="H79" s="104"/>
      <c r="I79" s="104"/>
      <c r="J79" s="104"/>
      <c r="K79" s="104"/>
      <c r="L79" s="104"/>
      <c r="M79" s="104"/>
    </row>
    <row r="80" spans="1:13" ht="12.75">
      <c r="A80" s="104"/>
      <c r="B80" s="104"/>
      <c r="C80" s="104"/>
      <c r="D80" s="105" t="s">
        <v>253</v>
      </c>
      <c r="E80" s="104"/>
      <c r="F80" s="106">
        <v>0.031</v>
      </c>
      <c r="G80" s="104"/>
      <c r="H80" s="104"/>
      <c r="I80" s="104"/>
      <c r="J80" s="104"/>
      <c r="K80" s="104"/>
      <c r="L80" s="104"/>
      <c r="M80" s="104"/>
    </row>
    <row r="81" spans="1:43" ht="12.75">
      <c r="A81" s="67" t="s">
        <v>254</v>
      </c>
      <c r="B81" s="67" t="s">
        <v>104</v>
      </c>
      <c r="C81" s="67" t="s">
        <v>255</v>
      </c>
      <c r="D81" s="67" t="s">
        <v>256</v>
      </c>
      <c r="E81" s="67" t="s">
        <v>257</v>
      </c>
      <c r="F81" s="99">
        <v>4</v>
      </c>
      <c r="G81" s="100"/>
      <c r="H81" s="100">
        <f>F81*AE81</f>
        <v>0</v>
      </c>
      <c r="I81" s="100">
        <f>J81-H81</f>
        <v>0</v>
      </c>
      <c r="J81" s="100">
        <f>F81*G81</f>
        <v>0</v>
      </c>
      <c r="K81" s="100">
        <v>0</v>
      </c>
      <c r="L81" s="100">
        <f>F81*K81</f>
        <v>0</v>
      </c>
      <c r="M81" s="101" t="s">
        <v>112</v>
      </c>
      <c r="N81" s="102" t="s">
        <v>106</v>
      </c>
      <c r="O81" s="103">
        <f>IF(N81="5",I81,0)</f>
        <v>0</v>
      </c>
      <c r="Z81" s="103">
        <f>IF(AD81=0,J81,0)</f>
        <v>0</v>
      </c>
      <c r="AA81" s="103">
        <f>IF(AD81=15,J81,0)</f>
        <v>0</v>
      </c>
      <c r="AB81" s="103">
        <f>IF(AD81=21,J81,0)</f>
        <v>0</v>
      </c>
      <c r="AD81" s="103">
        <v>21</v>
      </c>
      <c r="AE81" s="103">
        <f>G81*0.531336405529954</f>
        <v>0</v>
      </c>
      <c r="AF81" s="103">
        <f>G81*(1-0.531336405529954)</f>
        <v>0</v>
      </c>
      <c r="AM81" s="103">
        <f>F81*AE81</f>
        <v>0</v>
      </c>
      <c r="AN81" s="103">
        <f>F81*AF81</f>
        <v>0</v>
      </c>
      <c r="AO81" s="102" t="s">
        <v>237</v>
      </c>
      <c r="AP81" s="102" t="s">
        <v>238</v>
      </c>
      <c r="AQ81" s="89" t="s">
        <v>115</v>
      </c>
    </row>
    <row r="82" spans="1:13" ht="12.75">
      <c r="A82" s="104"/>
      <c r="B82" s="104"/>
      <c r="C82" s="104"/>
      <c r="D82" s="105" t="s">
        <v>127</v>
      </c>
      <c r="E82" s="104"/>
      <c r="F82" s="106">
        <v>4</v>
      </c>
      <c r="G82" s="104"/>
      <c r="H82" s="104"/>
      <c r="I82" s="104"/>
      <c r="J82" s="104"/>
      <c r="K82" s="104"/>
      <c r="L82" s="104"/>
      <c r="M82" s="104"/>
    </row>
    <row r="83" spans="1:37" ht="12.75">
      <c r="A83" s="94"/>
      <c r="B83" s="95" t="s">
        <v>104</v>
      </c>
      <c r="C83" s="95" t="s">
        <v>258</v>
      </c>
      <c r="D83" s="95" t="s">
        <v>259</v>
      </c>
      <c r="E83" s="95"/>
      <c r="F83" s="95"/>
      <c r="G83" s="95"/>
      <c r="H83" s="96">
        <f>SUM(H84:H86)</f>
        <v>0</v>
      </c>
      <c r="I83" s="96">
        <f>SUM(I84:I86)</f>
        <v>0</v>
      </c>
      <c r="J83" s="96">
        <f>H83+I83</f>
        <v>0</v>
      </c>
      <c r="K83" s="97"/>
      <c r="L83" s="96">
        <f>SUM(L84:L86)</f>
        <v>0.0072168</v>
      </c>
      <c r="M83" s="97"/>
      <c r="P83" s="98">
        <f>IF(Q83="PR",J83,SUM(O84:O86))</f>
        <v>0</v>
      </c>
      <c r="Q83" s="89" t="s">
        <v>233</v>
      </c>
      <c r="R83" s="98">
        <f>IF(Q83="HS",H83,0)</f>
        <v>0</v>
      </c>
      <c r="S83" s="98">
        <f>IF(Q83="HS",I83-P83,0)</f>
        <v>0</v>
      </c>
      <c r="T83" s="98">
        <f>IF(Q83="PS",H83,0)</f>
        <v>0</v>
      </c>
      <c r="U83" s="98">
        <f>IF(Q83="PS",I83-P83,0)</f>
        <v>0</v>
      </c>
      <c r="V83" s="98">
        <f>IF(Q83="MP",H83,0)</f>
        <v>0</v>
      </c>
      <c r="W83" s="98">
        <f>IF(Q83="MP",I83-P83,0)</f>
        <v>0</v>
      </c>
      <c r="X83" s="98">
        <f>IF(Q83="OM",H83,0)</f>
        <v>0</v>
      </c>
      <c r="Y83" s="89" t="s">
        <v>104</v>
      </c>
      <c r="AI83" s="98">
        <f>SUM(Z84:Z86)</f>
        <v>0</v>
      </c>
      <c r="AJ83" s="98">
        <f>SUM(AA84:AA86)</f>
        <v>0</v>
      </c>
      <c r="AK83" s="98">
        <f>SUM(AB84:AB86)</f>
        <v>0</v>
      </c>
    </row>
    <row r="84" spans="1:43" ht="12.75">
      <c r="A84" s="67" t="s">
        <v>260</v>
      </c>
      <c r="B84" s="67" t="s">
        <v>104</v>
      </c>
      <c r="C84" s="67" t="s">
        <v>261</v>
      </c>
      <c r="D84" s="67" t="s">
        <v>262</v>
      </c>
      <c r="E84" s="67" t="s">
        <v>123</v>
      </c>
      <c r="F84" s="99">
        <v>0.39</v>
      </c>
      <c r="G84" s="100"/>
      <c r="H84" s="100">
        <f>F84*AE84</f>
        <v>0</v>
      </c>
      <c r="I84" s="100">
        <f>J84-H84</f>
        <v>0</v>
      </c>
      <c r="J84" s="100">
        <f>F84*G84</f>
        <v>0</v>
      </c>
      <c r="K84" s="100">
        <v>0.01772</v>
      </c>
      <c r="L84" s="100">
        <f>F84*K84</f>
        <v>0.0069108</v>
      </c>
      <c r="M84" s="101" t="s">
        <v>112</v>
      </c>
      <c r="N84" s="102" t="s">
        <v>113</v>
      </c>
      <c r="O84" s="103">
        <f>IF(N84="5",I84,0)</f>
        <v>0</v>
      </c>
      <c r="Z84" s="103">
        <f>IF(AD84=0,J84,0)</f>
        <v>0</v>
      </c>
      <c r="AA84" s="103">
        <f>IF(AD84=15,J84,0)</f>
        <v>0</v>
      </c>
      <c r="AB84" s="103">
        <f>IF(AD84=21,J84,0)</f>
        <v>0</v>
      </c>
      <c r="AD84" s="103">
        <v>21</v>
      </c>
      <c r="AE84" s="103">
        <f>G84*0.570234432234432</f>
        <v>0</v>
      </c>
      <c r="AF84" s="103">
        <f>G84*(1-0.570234432234432)</f>
        <v>0</v>
      </c>
      <c r="AM84" s="103">
        <f>F84*AE84</f>
        <v>0</v>
      </c>
      <c r="AN84" s="103">
        <f>F84*AF84</f>
        <v>0</v>
      </c>
      <c r="AO84" s="102" t="s">
        <v>263</v>
      </c>
      <c r="AP84" s="102" t="s">
        <v>238</v>
      </c>
      <c r="AQ84" s="89" t="s">
        <v>115</v>
      </c>
    </row>
    <row r="85" spans="1:13" ht="12.75">
      <c r="A85" s="104"/>
      <c r="B85" s="104"/>
      <c r="C85" s="104"/>
      <c r="D85" s="105" t="s">
        <v>264</v>
      </c>
      <c r="E85" s="104"/>
      <c r="F85" s="106">
        <v>0.39</v>
      </c>
      <c r="G85" s="104"/>
      <c r="H85" s="104"/>
      <c r="I85" s="104"/>
      <c r="J85" s="104"/>
      <c r="K85" s="104"/>
      <c r="L85" s="104"/>
      <c r="M85" s="104"/>
    </row>
    <row r="86" spans="1:43" ht="12.75">
      <c r="A86" s="67" t="s">
        <v>265</v>
      </c>
      <c r="B86" s="67" t="s">
        <v>104</v>
      </c>
      <c r="C86" s="67" t="s">
        <v>266</v>
      </c>
      <c r="D86" s="67" t="s">
        <v>267</v>
      </c>
      <c r="E86" s="67" t="s">
        <v>139</v>
      </c>
      <c r="F86" s="99">
        <v>0.6</v>
      </c>
      <c r="G86" s="100"/>
      <c r="H86" s="100">
        <f>F86*AE86</f>
        <v>0</v>
      </c>
      <c r="I86" s="100">
        <f>J86-H86</f>
        <v>0</v>
      </c>
      <c r="J86" s="100">
        <f>F86*G86</f>
        <v>0</v>
      </c>
      <c r="K86" s="100">
        <v>0.00051</v>
      </c>
      <c r="L86" s="100">
        <f>F86*K86</f>
        <v>0.000306</v>
      </c>
      <c r="M86" s="101" t="s">
        <v>112</v>
      </c>
      <c r="N86" s="102" t="s">
        <v>106</v>
      </c>
      <c r="O86" s="103">
        <f>IF(N86="5",I86,0)</f>
        <v>0</v>
      </c>
      <c r="Z86" s="103">
        <f>IF(AD86=0,J86,0)</f>
        <v>0</v>
      </c>
      <c r="AA86" s="103">
        <f>IF(AD86=15,J86,0)</f>
        <v>0</v>
      </c>
      <c r="AB86" s="103">
        <f>IF(AD86=21,J86,0)</f>
        <v>0</v>
      </c>
      <c r="AD86" s="103">
        <v>21</v>
      </c>
      <c r="AE86" s="103">
        <f>G86*0.507124681933842</f>
        <v>0</v>
      </c>
      <c r="AF86" s="103">
        <f>G86*(1-0.507124681933842)</f>
        <v>0</v>
      </c>
      <c r="AM86" s="103">
        <f>F86*AE86</f>
        <v>0</v>
      </c>
      <c r="AN86" s="103">
        <f>F86*AF86</f>
        <v>0</v>
      </c>
      <c r="AO86" s="102" t="s">
        <v>263</v>
      </c>
      <c r="AP86" s="102" t="s">
        <v>238</v>
      </c>
      <c r="AQ86" s="89" t="s">
        <v>115</v>
      </c>
    </row>
    <row r="87" spans="1:13" ht="12.75">
      <c r="A87" s="104"/>
      <c r="B87" s="104"/>
      <c r="C87" s="104"/>
      <c r="D87" s="105" t="s">
        <v>268</v>
      </c>
      <c r="E87" s="104"/>
      <c r="F87" s="106">
        <v>0.6</v>
      </c>
      <c r="G87" s="104"/>
      <c r="H87" s="104"/>
      <c r="I87" s="104"/>
      <c r="J87" s="104"/>
      <c r="K87" s="104"/>
      <c r="L87" s="104"/>
      <c r="M87" s="104"/>
    </row>
    <row r="88" spans="1:37" ht="12.75">
      <c r="A88" s="94"/>
      <c r="B88" s="95" t="s">
        <v>104</v>
      </c>
      <c r="C88" s="95" t="s">
        <v>269</v>
      </c>
      <c r="D88" s="95" t="s">
        <v>270</v>
      </c>
      <c r="E88" s="95"/>
      <c r="F88" s="95"/>
      <c r="G88" s="95"/>
      <c r="H88" s="96">
        <f>SUM(H89:H89)</f>
        <v>0</v>
      </c>
      <c r="I88" s="96">
        <f>SUM(I89:I89)</f>
        <v>0</v>
      </c>
      <c r="J88" s="96">
        <f>H88+I88</f>
        <v>0</v>
      </c>
      <c r="K88" s="97"/>
      <c r="L88" s="96">
        <f>SUM(L89:L89)</f>
        <v>0</v>
      </c>
      <c r="M88" s="97"/>
      <c r="P88" s="98">
        <f>IF(Q88="PR",J88,SUM(O89:O89))</f>
        <v>0</v>
      </c>
      <c r="Q88" s="89" t="s">
        <v>108</v>
      </c>
      <c r="R88" s="98">
        <f>IF(Q88="HS",H88,0)</f>
        <v>0</v>
      </c>
      <c r="S88" s="98">
        <f>IF(Q88="HS",I88-P88,0)</f>
        <v>0</v>
      </c>
      <c r="T88" s="98">
        <f>IF(Q88="PS",H88,0)</f>
        <v>0</v>
      </c>
      <c r="U88" s="98">
        <f>IF(Q88="PS",I88-P88,0)</f>
        <v>0</v>
      </c>
      <c r="V88" s="98">
        <f>IF(Q88="MP",H88,0)</f>
        <v>0</v>
      </c>
      <c r="W88" s="98">
        <f>IF(Q88="MP",I88-P88,0)</f>
        <v>0</v>
      </c>
      <c r="X88" s="98">
        <f>IF(Q88="OM",H88,0)</f>
        <v>0</v>
      </c>
      <c r="Y88" s="89" t="s">
        <v>104</v>
      </c>
      <c r="AI88" s="98">
        <f>SUM(Z89:Z89)</f>
        <v>0</v>
      </c>
      <c r="AJ88" s="98">
        <f>SUM(AA89:AA89)</f>
        <v>0</v>
      </c>
      <c r="AK88" s="98">
        <f>SUM(AB89:AB89)</f>
        <v>0</v>
      </c>
    </row>
    <row r="89" spans="1:43" ht="12.75">
      <c r="A89" s="67" t="s">
        <v>154</v>
      </c>
      <c r="B89" s="67" t="s">
        <v>104</v>
      </c>
      <c r="C89" s="67" t="s">
        <v>271</v>
      </c>
      <c r="D89" s="67" t="s">
        <v>272</v>
      </c>
      <c r="E89" s="67"/>
      <c r="F89" s="99">
        <v>1</v>
      </c>
      <c r="G89" s="100">
        <f>ZTI!G54</f>
        <v>0</v>
      </c>
      <c r="H89" s="100">
        <f>F89*AE89</f>
        <v>0</v>
      </c>
      <c r="I89" s="100">
        <f>J89-H89</f>
        <v>0</v>
      </c>
      <c r="J89" s="100">
        <f>F89*G89</f>
        <v>0</v>
      </c>
      <c r="K89" s="100">
        <v>0</v>
      </c>
      <c r="L89" s="100">
        <f>F89*K89</f>
        <v>0</v>
      </c>
      <c r="M89" s="101" t="s">
        <v>112</v>
      </c>
      <c r="N89" s="102" t="s">
        <v>106</v>
      </c>
      <c r="O89" s="103">
        <f>IF(N89="5",I89,0)</f>
        <v>0</v>
      </c>
      <c r="Z89" s="103">
        <f>IF(AD89=0,J89,0)</f>
        <v>0</v>
      </c>
      <c r="AA89" s="103">
        <f>IF(AD89=15,J89,0)</f>
        <v>0</v>
      </c>
      <c r="AB89" s="103">
        <f>IF(AD89=21,J89,0)</f>
        <v>0</v>
      </c>
      <c r="AD89" s="103">
        <v>21</v>
      </c>
      <c r="AE89" s="103">
        <f>G89*0.561972390206565</f>
        <v>0</v>
      </c>
      <c r="AF89" s="103">
        <f>G89*(1-0.561972390206565)</f>
        <v>0</v>
      </c>
      <c r="AM89" s="103">
        <f>F89*AE89</f>
        <v>0</v>
      </c>
      <c r="AN89" s="103">
        <f>F89*AF89</f>
        <v>0</v>
      </c>
      <c r="AO89" s="102" t="s">
        <v>273</v>
      </c>
      <c r="AP89" s="102" t="s">
        <v>274</v>
      </c>
      <c r="AQ89" s="89" t="s">
        <v>115</v>
      </c>
    </row>
    <row r="90" spans="1:13" ht="12.75">
      <c r="A90" s="104"/>
      <c r="B90" s="104"/>
      <c r="C90" s="104"/>
      <c r="D90" s="105" t="s">
        <v>106</v>
      </c>
      <c r="E90" s="104"/>
      <c r="F90" s="106">
        <v>1</v>
      </c>
      <c r="G90" s="104"/>
      <c r="H90" s="104"/>
      <c r="I90" s="104"/>
      <c r="J90" s="104"/>
      <c r="K90" s="104"/>
      <c r="L90" s="104"/>
      <c r="M90" s="104"/>
    </row>
    <row r="91" spans="1:37" ht="12.75">
      <c r="A91" s="94"/>
      <c r="B91" s="95" t="s">
        <v>104</v>
      </c>
      <c r="C91" s="95" t="s">
        <v>275</v>
      </c>
      <c r="D91" s="95" t="s">
        <v>276</v>
      </c>
      <c r="E91" s="95"/>
      <c r="F91" s="95"/>
      <c r="G91" s="95"/>
      <c r="H91" s="96">
        <f>SUM(H92:H94)</f>
        <v>0</v>
      </c>
      <c r="I91" s="96">
        <f>SUM(I92:I94)</f>
        <v>0</v>
      </c>
      <c r="J91" s="96">
        <f>H91+I91</f>
        <v>0</v>
      </c>
      <c r="K91" s="97"/>
      <c r="L91" s="96">
        <f>SUM(L92:L94)</f>
        <v>10.541083399999998</v>
      </c>
      <c r="M91" s="97"/>
      <c r="P91" s="98">
        <f>IF(Q91="PR",J91,SUM(O92:O94))</f>
        <v>0</v>
      </c>
      <c r="Q91" s="89" t="s">
        <v>108</v>
      </c>
      <c r="R91" s="98">
        <f>IF(Q91="HS",H91,0)</f>
        <v>0</v>
      </c>
      <c r="S91" s="98">
        <f>IF(Q91="HS",I91-P91,0)</f>
        <v>0</v>
      </c>
      <c r="T91" s="98">
        <f>IF(Q91="PS",H91,0)</f>
        <v>0</v>
      </c>
      <c r="U91" s="98">
        <f>IF(Q91="PS",I91-P91,0)</f>
        <v>0</v>
      </c>
      <c r="V91" s="98">
        <f>IF(Q91="MP",H91,0)</f>
        <v>0</v>
      </c>
      <c r="W91" s="98">
        <f>IF(Q91="MP",I91-P91,0)</f>
        <v>0</v>
      </c>
      <c r="X91" s="98">
        <f>IF(Q91="OM",H91,0)</f>
        <v>0</v>
      </c>
      <c r="Y91" s="89" t="s">
        <v>104</v>
      </c>
      <c r="AI91" s="98">
        <f>SUM(Z92:Z94)</f>
        <v>0</v>
      </c>
      <c r="AJ91" s="98">
        <f>SUM(AA92:AA94)</f>
        <v>0</v>
      </c>
      <c r="AK91" s="98">
        <f>SUM(AB92:AB94)</f>
        <v>0</v>
      </c>
    </row>
    <row r="92" spans="1:43" ht="12.75">
      <c r="A92" s="67" t="s">
        <v>277</v>
      </c>
      <c r="B92" s="67" t="s">
        <v>104</v>
      </c>
      <c r="C92" s="67" t="s">
        <v>278</v>
      </c>
      <c r="D92" s="67" t="s">
        <v>279</v>
      </c>
      <c r="E92" s="67" t="s">
        <v>139</v>
      </c>
      <c r="F92" s="99">
        <v>12.44</v>
      </c>
      <c r="G92" s="100"/>
      <c r="H92" s="100">
        <f>F92*AE92</f>
        <v>0</v>
      </c>
      <c r="I92" s="100">
        <f>J92-H92</f>
        <v>0</v>
      </c>
      <c r="J92" s="100">
        <f>F92*G92</f>
        <v>0</v>
      </c>
      <c r="K92" s="100">
        <v>0.12472</v>
      </c>
      <c r="L92" s="100">
        <f>F92*K92</f>
        <v>1.5515168</v>
      </c>
      <c r="M92" s="101" t="s">
        <v>112</v>
      </c>
      <c r="N92" s="102" t="s">
        <v>106</v>
      </c>
      <c r="O92" s="103">
        <f>IF(N92="5",I92,0)</f>
        <v>0</v>
      </c>
      <c r="Z92" s="103">
        <f>IF(AD92=0,J92,0)</f>
        <v>0</v>
      </c>
      <c r="AA92" s="103">
        <f>IF(AD92=15,J92,0)</f>
        <v>0</v>
      </c>
      <c r="AB92" s="103">
        <f>IF(AD92=21,J92,0)</f>
        <v>0</v>
      </c>
      <c r="AD92" s="103">
        <v>21</v>
      </c>
      <c r="AE92" s="103">
        <f>G92*0.760659802706054</f>
        <v>0</v>
      </c>
      <c r="AF92" s="103">
        <f>G92*(1-0.760659802706054)</f>
        <v>0</v>
      </c>
      <c r="AM92" s="103">
        <f>F92*AE92</f>
        <v>0</v>
      </c>
      <c r="AN92" s="103">
        <f>F92*AF92</f>
        <v>0</v>
      </c>
      <c r="AO92" s="102" t="s">
        <v>280</v>
      </c>
      <c r="AP92" s="102" t="s">
        <v>281</v>
      </c>
      <c r="AQ92" s="89" t="s">
        <v>115</v>
      </c>
    </row>
    <row r="93" spans="1:13" ht="12.75">
      <c r="A93" s="104"/>
      <c r="B93" s="104"/>
      <c r="C93" s="104"/>
      <c r="D93" s="105" t="s">
        <v>282</v>
      </c>
      <c r="E93" s="104"/>
      <c r="F93" s="106">
        <v>12.44</v>
      </c>
      <c r="G93" s="104"/>
      <c r="H93" s="104"/>
      <c r="I93" s="104"/>
      <c r="J93" s="104"/>
      <c r="K93" s="104"/>
      <c r="L93" s="104"/>
      <c r="M93" s="104"/>
    </row>
    <row r="94" spans="1:43" ht="12.75">
      <c r="A94" s="67" t="s">
        <v>283</v>
      </c>
      <c r="B94" s="67" t="s">
        <v>104</v>
      </c>
      <c r="C94" s="67" t="s">
        <v>284</v>
      </c>
      <c r="D94" s="67" t="s">
        <v>285</v>
      </c>
      <c r="E94" s="67" t="s">
        <v>139</v>
      </c>
      <c r="F94" s="99">
        <v>34.69</v>
      </c>
      <c r="G94" s="100"/>
      <c r="H94" s="100">
        <f>F94*AE94</f>
        <v>0</v>
      </c>
      <c r="I94" s="100">
        <f>J94-H94</f>
        <v>0</v>
      </c>
      <c r="J94" s="100">
        <f>F94*G94</f>
        <v>0</v>
      </c>
      <c r="K94" s="100">
        <v>0.25914</v>
      </c>
      <c r="L94" s="100">
        <f>F94*K94</f>
        <v>8.989566599999998</v>
      </c>
      <c r="M94" s="101" t="s">
        <v>112</v>
      </c>
      <c r="N94" s="102" t="s">
        <v>106</v>
      </c>
      <c r="O94" s="103">
        <f>IF(N94="5",I94,0)</f>
        <v>0</v>
      </c>
      <c r="Z94" s="103">
        <f>IF(AD94=0,J94,0)</f>
        <v>0</v>
      </c>
      <c r="AA94" s="103">
        <f>IF(AD94=15,J94,0)</f>
        <v>0</v>
      </c>
      <c r="AB94" s="103">
        <f>IF(AD94=21,J94,0)</f>
        <v>0</v>
      </c>
      <c r="AD94" s="103">
        <v>21</v>
      </c>
      <c r="AE94" s="103">
        <f>G94*0.775649419218585</f>
        <v>0</v>
      </c>
      <c r="AF94" s="103">
        <f>G94*(1-0.775649419218585)</f>
        <v>0</v>
      </c>
      <c r="AM94" s="103">
        <f>F94*AE94</f>
        <v>0</v>
      </c>
      <c r="AN94" s="103">
        <f>F94*AF94</f>
        <v>0</v>
      </c>
      <c r="AO94" s="102" t="s">
        <v>280</v>
      </c>
      <c r="AP94" s="102" t="s">
        <v>281</v>
      </c>
      <c r="AQ94" s="89" t="s">
        <v>115</v>
      </c>
    </row>
    <row r="95" spans="1:13" ht="12.75">
      <c r="A95" s="104"/>
      <c r="B95" s="104"/>
      <c r="C95" s="104"/>
      <c r="D95" s="105" t="s">
        <v>215</v>
      </c>
      <c r="E95" s="104"/>
      <c r="F95" s="106">
        <v>34.69</v>
      </c>
      <c r="G95" s="104"/>
      <c r="H95" s="104"/>
      <c r="I95" s="104"/>
      <c r="J95" s="104"/>
      <c r="K95" s="104"/>
      <c r="L95" s="104"/>
      <c r="M95" s="104"/>
    </row>
    <row r="96" spans="1:37" ht="12.75">
      <c r="A96" s="94"/>
      <c r="B96" s="95" t="s">
        <v>104</v>
      </c>
      <c r="C96" s="95" t="s">
        <v>286</v>
      </c>
      <c r="D96" s="95" t="s">
        <v>287</v>
      </c>
      <c r="E96" s="95"/>
      <c r="F96" s="95"/>
      <c r="G96" s="95"/>
      <c r="H96" s="96">
        <f>SUM(H97:H107)</f>
        <v>0</v>
      </c>
      <c r="I96" s="96">
        <f>SUM(I97:I107)</f>
        <v>0</v>
      </c>
      <c r="J96" s="96">
        <f>H96+I96</f>
        <v>0</v>
      </c>
      <c r="K96" s="97"/>
      <c r="L96" s="96">
        <f>SUM(L97:L107)</f>
        <v>0.25573327999999995</v>
      </c>
      <c r="M96" s="97"/>
      <c r="P96" s="98">
        <f>IF(Q96="PR",J96,SUM(O97:O107))</f>
        <v>0</v>
      </c>
      <c r="Q96" s="89" t="s">
        <v>108</v>
      </c>
      <c r="R96" s="98">
        <f>IF(Q96="HS",H96,0)</f>
        <v>0</v>
      </c>
      <c r="S96" s="98">
        <f>IF(Q96="HS",I96-P96,0)</f>
        <v>0</v>
      </c>
      <c r="T96" s="98">
        <f>IF(Q96="PS",H96,0)</f>
        <v>0</v>
      </c>
      <c r="U96" s="98">
        <f>IF(Q96="PS",I96-P96,0)</f>
        <v>0</v>
      </c>
      <c r="V96" s="98">
        <f>IF(Q96="MP",H96,0)</f>
        <v>0</v>
      </c>
      <c r="W96" s="98">
        <f>IF(Q96="MP",I96-P96,0)</f>
        <v>0</v>
      </c>
      <c r="X96" s="98">
        <f>IF(Q96="OM",H96,0)</f>
        <v>0</v>
      </c>
      <c r="Y96" s="89" t="s">
        <v>104</v>
      </c>
      <c r="AI96" s="98">
        <f>SUM(Z97:Z107)</f>
        <v>0</v>
      </c>
      <c r="AJ96" s="98">
        <f>SUM(AA97:AA107)</f>
        <v>0</v>
      </c>
      <c r="AK96" s="98">
        <f>SUM(AB97:AB107)</f>
        <v>0</v>
      </c>
    </row>
    <row r="97" spans="1:43" ht="12.75">
      <c r="A97" s="67" t="s">
        <v>288</v>
      </c>
      <c r="B97" s="67" t="s">
        <v>104</v>
      </c>
      <c r="C97" s="67" t="s">
        <v>289</v>
      </c>
      <c r="D97" s="67" t="s">
        <v>290</v>
      </c>
      <c r="E97" s="67" t="s">
        <v>257</v>
      </c>
      <c r="F97" s="99">
        <v>3</v>
      </c>
      <c r="G97" s="100"/>
      <c r="H97" s="100">
        <f>F97*AE97</f>
        <v>0</v>
      </c>
      <c r="I97" s="100">
        <f>J97-H97</f>
        <v>0</v>
      </c>
      <c r="J97" s="100">
        <f>F97*G97</f>
        <v>0</v>
      </c>
      <c r="K97" s="100">
        <v>0.01117</v>
      </c>
      <c r="L97" s="100">
        <f>F97*K97</f>
        <v>0.03351</v>
      </c>
      <c r="M97" s="101" t="s">
        <v>112</v>
      </c>
      <c r="N97" s="102" t="s">
        <v>106</v>
      </c>
      <c r="O97" s="103">
        <f>IF(N97="5",I97,0)</f>
        <v>0</v>
      </c>
      <c r="Z97" s="103">
        <f>IF(AD97=0,J97,0)</f>
        <v>0</v>
      </c>
      <c r="AA97" s="103">
        <f>IF(AD97=15,J97,0)</f>
        <v>0</v>
      </c>
      <c r="AB97" s="103">
        <f>IF(AD97=21,J97,0)</f>
        <v>0</v>
      </c>
      <c r="AD97" s="103">
        <v>21</v>
      </c>
      <c r="AE97" s="103">
        <f>G97*0.0919659284497445</f>
        <v>0</v>
      </c>
      <c r="AF97" s="103">
        <f>G97*(1-0.0919659284497445)</f>
        <v>0</v>
      </c>
      <c r="AM97" s="103">
        <f>F97*AE97</f>
        <v>0</v>
      </c>
      <c r="AN97" s="103">
        <f>F97*AF97</f>
        <v>0</v>
      </c>
      <c r="AO97" s="102" t="s">
        <v>291</v>
      </c>
      <c r="AP97" s="102" t="s">
        <v>281</v>
      </c>
      <c r="AQ97" s="89" t="s">
        <v>115</v>
      </c>
    </row>
    <row r="98" spans="1:13" ht="12.75">
      <c r="A98" s="104"/>
      <c r="B98" s="104"/>
      <c r="C98" s="104"/>
      <c r="D98" s="105" t="s">
        <v>113</v>
      </c>
      <c r="E98" s="104"/>
      <c r="F98" s="106">
        <v>3</v>
      </c>
      <c r="G98" s="104"/>
      <c r="H98" s="104"/>
      <c r="I98" s="104"/>
      <c r="J98" s="104"/>
      <c r="K98" s="104"/>
      <c r="L98" s="104"/>
      <c r="M98" s="104"/>
    </row>
    <row r="99" spans="1:43" ht="12.75">
      <c r="A99" s="109" t="s">
        <v>292</v>
      </c>
      <c r="B99" s="109" t="s">
        <v>104</v>
      </c>
      <c r="C99" s="109" t="s">
        <v>293</v>
      </c>
      <c r="D99" s="109" t="s">
        <v>294</v>
      </c>
      <c r="E99" s="109" t="s">
        <v>295</v>
      </c>
      <c r="F99" s="110">
        <v>2</v>
      </c>
      <c r="G99" s="111"/>
      <c r="H99" s="111">
        <f>F99*AE99</f>
        <v>0</v>
      </c>
      <c r="I99" s="111">
        <f>J99-H99</f>
        <v>0</v>
      </c>
      <c r="J99" s="111">
        <f>F99*G99</f>
        <v>0</v>
      </c>
      <c r="K99" s="111">
        <v>0.062</v>
      </c>
      <c r="L99" s="111">
        <f>F99*K99</f>
        <v>0.124</v>
      </c>
      <c r="M99" s="112" t="s">
        <v>112</v>
      </c>
      <c r="N99" s="113" t="s">
        <v>243</v>
      </c>
      <c r="O99" s="114">
        <f>IF(N99="5",I99,0)</f>
        <v>0</v>
      </c>
      <c r="Z99" s="114">
        <f>IF(AD99=0,J99,0)</f>
        <v>0</v>
      </c>
      <c r="AA99" s="114">
        <f>IF(AD99=15,J99,0)</f>
        <v>0</v>
      </c>
      <c r="AB99" s="114">
        <f>IF(AD99=21,J99,0)</f>
        <v>0</v>
      </c>
      <c r="AD99" s="103">
        <v>21</v>
      </c>
      <c r="AE99" s="103">
        <f>G99*1</f>
        <v>0</v>
      </c>
      <c r="AF99" s="103">
        <f>G99*(1-1)</f>
        <v>0</v>
      </c>
      <c r="AM99" s="103">
        <f>F99*AE99</f>
        <v>0</v>
      </c>
      <c r="AN99" s="103">
        <f>F99*AF99</f>
        <v>0</v>
      </c>
      <c r="AO99" s="102" t="s">
        <v>291</v>
      </c>
      <c r="AP99" s="102" t="s">
        <v>281</v>
      </c>
      <c r="AQ99" s="89" t="s">
        <v>115</v>
      </c>
    </row>
    <row r="100" spans="1:13" ht="12.75">
      <c r="A100" s="104"/>
      <c r="B100" s="104"/>
      <c r="C100" s="104"/>
      <c r="D100" s="105" t="s">
        <v>117</v>
      </c>
      <c r="E100" s="104"/>
      <c r="F100" s="106">
        <v>2</v>
      </c>
      <c r="G100" s="104"/>
      <c r="H100" s="104"/>
      <c r="I100" s="104"/>
      <c r="J100" s="104"/>
      <c r="K100" s="104"/>
      <c r="L100" s="104"/>
      <c r="M100" s="104"/>
    </row>
    <row r="101" spans="1:43" ht="12.75">
      <c r="A101" s="109" t="s">
        <v>296</v>
      </c>
      <c r="B101" s="109" t="s">
        <v>104</v>
      </c>
      <c r="C101" s="109" t="s">
        <v>297</v>
      </c>
      <c r="D101" s="109" t="s">
        <v>298</v>
      </c>
      <c r="E101" s="109" t="s">
        <v>257</v>
      </c>
      <c r="F101" s="110">
        <v>1</v>
      </c>
      <c r="G101" s="111"/>
      <c r="H101" s="111">
        <f>F101*AE101</f>
        <v>0</v>
      </c>
      <c r="I101" s="111">
        <f>J101-H101</f>
        <v>0</v>
      </c>
      <c r="J101" s="111">
        <f>F101*G101</f>
        <v>0</v>
      </c>
      <c r="K101" s="111">
        <v>0.051</v>
      </c>
      <c r="L101" s="111">
        <f>F101*K101</f>
        <v>0.051</v>
      </c>
      <c r="M101" s="112" t="s">
        <v>112</v>
      </c>
      <c r="N101" s="113" t="s">
        <v>243</v>
      </c>
      <c r="O101" s="114">
        <f>IF(N101="5",I101,0)</f>
        <v>0</v>
      </c>
      <c r="Z101" s="114">
        <f>IF(AD101=0,J101,0)</f>
        <v>0</v>
      </c>
      <c r="AA101" s="114">
        <f>IF(AD101=15,J101,0)</f>
        <v>0</v>
      </c>
      <c r="AB101" s="114">
        <f>IF(AD101=21,J101,0)</f>
        <v>0</v>
      </c>
      <c r="AD101" s="103">
        <v>21</v>
      </c>
      <c r="AE101" s="103">
        <f>G101*1</f>
        <v>0</v>
      </c>
      <c r="AF101" s="103">
        <f>G101*(1-1)</f>
        <v>0</v>
      </c>
      <c r="AM101" s="103">
        <f>F101*AE101</f>
        <v>0</v>
      </c>
      <c r="AN101" s="103">
        <f>F101*AF101</f>
        <v>0</v>
      </c>
      <c r="AO101" s="102" t="s">
        <v>291</v>
      </c>
      <c r="AP101" s="102" t="s">
        <v>281</v>
      </c>
      <c r="AQ101" s="89" t="s">
        <v>115</v>
      </c>
    </row>
    <row r="102" spans="1:13" ht="12.75">
      <c r="A102" s="104"/>
      <c r="B102" s="104"/>
      <c r="C102" s="104"/>
      <c r="D102" s="105" t="s">
        <v>106</v>
      </c>
      <c r="E102" s="104"/>
      <c r="F102" s="106">
        <v>1</v>
      </c>
      <c r="G102" s="104"/>
      <c r="H102" s="104"/>
      <c r="I102" s="104"/>
      <c r="J102" s="104"/>
      <c r="K102" s="104"/>
      <c r="L102" s="104"/>
      <c r="M102" s="104"/>
    </row>
    <row r="103" spans="1:43" ht="12.75">
      <c r="A103" s="67" t="s">
        <v>299</v>
      </c>
      <c r="B103" s="67" t="s">
        <v>104</v>
      </c>
      <c r="C103" s="67" t="s">
        <v>300</v>
      </c>
      <c r="D103" s="67" t="s">
        <v>301</v>
      </c>
      <c r="E103" s="67" t="s">
        <v>257</v>
      </c>
      <c r="F103" s="99">
        <v>1</v>
      </c>
      <c r="G103" s="100"/>
      <c r="H103" s="100">
        <f>F103*AE103</f>
        <v>0</v>
      </c>
      <c r="I103" s="100">
        <f>J103-H103</f>
        <v>0</v>
      </c>
      <c r="J103" s="100">
        <f>F103*G103</f>
        <v>0</v>
      </c>
      <c r="K103" s="100">
        <v>0.00214</v>
      </c>
      <c r="L103" s="100">
        <f>F103*K103</f>
        <v>0.00214</v>
      </c>
      <c r="M103" s="101" t="s">
        <v>112</v>
      </c>
      <c r="N103" s="102" t="s">
        <v>106</v>
      </c>
      <c r="O103" s="103">
        <f>IF(N103="5",I103,0)</f>
        <v>0</v>
      </c>
      <c r="Z103" s="103">
        <f>IF(AD103=0,J103,0)</f>
        <v>0</v>
      </c>
      <c r="AA103" s="103">
        <f>IF(AD103=15,J103,0)</f>
        <v>0</v>
      </c>
      <c r="AB103" s="103">
        <f>IF(AD103=21,J103,0)</f>
        <v>0</v>
      </c>
      <c r="AD103" s="103">
        <v>21</v>
      </c>
      <c r="AE103" s="103">
        <f>G103*0.10605459057072</f>
        <v>0</v>
      </c>
      <c r="AF103" s="103">
        <f>G103*(1-0.10605459057072)</f>
        <v>0</v>
      </c>
      <c r="AM103" s="103">
        <f>F103*AE103</f>
        <v>0</v>
      </c>
      <c r="AN103" s="103">
        <f>F103*AF103</f>
        <v>0</v>
      </c>
      <c r="AO103" s="102" t="s">
        <v>291</v>
      </c>
      <c r="AP103" s="102" t="s">
        <v>281</v>
      </c>
      <c r="AQ103" s="89" t="s">
        <v>115</v>
      </c>
    </row>
    <row r="104" spans="1:13" ht="12.75">
      <c r="A104" s="104"/>
      <c r="B104" s="104"/>
      <c r="C104" s="104"/>
      <c r="D104" s="105" t="s">
        <v>106</v>
      </c>
      <c r="E104" s="104"/>
      <c r="F104" s="106">
        <v>1</v>
      </c>
      <c r="G104" s="104"/>
      <c r="H104" s="104"/>
      <c r="I104" s="104"/>
      <c r="J104" s="104"/>
      <c r="K104" s="104"/>
      <c r="L104" s="104"/>
      <c r="M104" s="104"/>
    </row>
    <row r="105" spans="1:43" ht="12.75">
      <c r="A105" s="109" t="s">
        <v>302</v>
      </c>
      <c r="B105" s="109" t="s">
        <v>104</v>
      </c>
      <c r="C105" s="109" t="s">
        <v>303</v>
      </c>
      <c r="D105" s="109" t="s">
        <v>304</v>
      </c>
      <c r="E105" s="109" t="s">
        <v>257</v>
      </c>
      <c r="F105" s="110">
        <v>1</v>
      </c>
      <c r="G105" s="111"/>
      <c r="H105" s="111">
        <f>F105*AE105</f>
        <v>0</v>
      </c>
      <c r="I105" s="111">
        <f>J105-H105</f>
        <v>0</v>
      </c>
      <c r="J105" s="111">
        <f>F105*G105</f>
        <v>0</v>
      </c>
      <c r="K105" s="111">
        <v>0.02</v>
      </c>
      <c r="L105" s="111">
        <f>F105*K105</f>
        <v>0.02</v>
      </c>
      <c r="M105" s="112" t="s">
        <v>112</v>
      </c>
      <c r="N105" s="113" t="s">
        <v>243</v>
      </c>
      <c r="O105" s="114">
        <f>IF(N105="5",I105,0)</f>
        <v>0</v>
      </c>
      <c r="Z105" s="114">
        <f>IF(AD105=0,J105,0)</f>
        <v>0</v>
      </c>
      <c r="AA105" s="114">
        <f>IF(AD105=15,J105,0)</f>
        <v>0</v>
      </c>
      <c r="AB105" s="114">
        <f>IF(AD105=21,J105,0)</f>
        <v>0</v>
      </c>
      <c r="AD105" s="103">
        <v>21</v>
      </c>
      <c r="AE105" s="103">
        <f>G105*1</f>
        <v>0</v>
      </c>
      <c r="AF105" s="103">
        <f>G105*(1-1)</f>
        <v>0</v>
      </c>
      <c r="AM105" s="103">
        <f>F105*AE105</f>
        <v>0</v>
      </c>
      <c r="AN105" s="103">
        <f>F105*AF105</f>
        <v>0</v>
      </c>
      <c r="AO105" s="102" t="s">
        <v>291</v>
      </c>
      <c r="AP105" s="102" t="s">
        <v>281</v>
      </c>
      <c r="AQ105" s="89" t="s">
        <v>115</v>
      </c>
    </row>
    <row r="106" spans="1:13" ht="12.75">
      <c r="A106" s="104"/>
      <c r="B106" s="104"/>
      <c r="C106" s="104"/>
      <c r="D106" s="105" t="s">
        <v>106</v>
      </c>
      <c r="E106" s="104"/>
      <c r="F106" s="106">
        <v>1</v>
      </c>
      <c r="G106" s="104"/>
      <c r="H106" s="104"/>
      <c r="I106" s="104"/>
      <c r="J106" s="104"/>
      <c r="K106" s="104"/>
      <c r="L106" s="104"/>
      <c r="M106" s="104"/>
    </row>
    <row r="107" spans="1:43" ht="12.75">
      <c r="A107" s="67" t="s">
        <v>305</v>
      </c>
      <c r="B107" s="67" t="s">
        <v>104</v>
      </c>
      <c r="C107" s="67" t="s">
        <v>306</v>
      </c>
      <c r="D107" s="67" t="s">
        <v>307</v>
      </c>
      <c r="E107" s="67" t="s">
        <v>123</v>
      </c>
      <c r="F107" s="99">
        <v>5.204</v>
      </c>
      <c r="G107" s="100"/>
      <c r="H107" s="100">
        <f>F107*AE107</f>
        <v>0</v>
      </c>
      <c r="I107" s="100">
        <f>J107-H107</f>
        <v>0</v>
      </c>
      <c r="J107" s="100">
        <f>F107*G107</f>
        <v>0</v>
      </c>
      <c r="K107" s="100">
        <v>0.00482</v>
      </c>
      <c r="L107" s="100">
        <f>F107*K107</f>
        <v>0.025083279999999996</v>
      </c>
      <c r="M107" s="101" t="s">
        <v>112</v>
      </c>
      <c r="N107" s="102" t="s">
        <v>106</v>
      </c>
      <c r="O107" s="103">
        <f>IF(N107="5",I107,0)</f>
        <v>0</v>
      </c>
      <c r="Z107" s="103">
        <f>IF(AD107=0,J107,0)</f>
        <v>0</v>
      </c>
      <c r="AA107" s="103">
        <f>IF(AD107=15,J107,0)</f>
        <v>0</v>
      </c>
      <c r="AB107" s="103">
        <f>IF(AD107=21,J107,0)</f>
        <v>0</v>
      </c>
      <c r="AD107" s="103">
        <v>21</v>
      </c>
      <c r="AE107" s="103">
        <f>G107*0.822549019607843</f>
        <v>0</v>
      </c>
      <c r="AF107" s="103">
        <f>G107*(1-0.822549019607843)</f>
        <v>0</v>
      </c>
      <c r="AM107" s="103">
        <f>F107*AE107</f>
        <v>0</v>
      </c>
      <c r="AN107" s="103">
        <f>F107*AF107</f>
        <v>0</v>
      </c>
      <c r="AO107" s="102" t="s">
        <v>291</v>
      </c>
      <c r="AP107" s="102" t="s">
        <v>281</v>
      </c>
      <c r="AQ107" s="89" t="s">
        <v>115</v>
      </c>
    </row>
    <row r="108" spans="1:13" ht="12.75">
      <c r="A108" s="104"/>
      <c r="B108" s="104"/>
      <c r="C108" s="104"/>
      <c r="D108" s="105" t="s">
        <v>308</v>
      </c>
      <c r="E108" s="104"/>
      <c r="F108" s="106">
        <v>5.204</v>
      </c>
      <c r="G108" s="104"/>
      <c r="H108" s="104"/>
      <c r="I108" s="104"/>
      <c r="J108" s="104"/>
      <c r="K108" s="104"/>
      <c r="L108" s="104"/>
      <c r="M108" s="104"/>
    </row>
    <row r="109" spans="1:13" ht="12.75" customHeight="1">
      <c r="A109" s="104"/>
      <c r="B109" s="104"/>
      <c r="C109" s="107" t="s">
        <v>64</v>
      </c>
      <c r="D109" s="108" t="s">
        <v>309</v>
      </c>
      <c r="E109" s="108"/>
      <c r="F109" s="108"/>
      <c r="G109" s="108"/>
      <c r="H109" s="108"/>
      <c r="I109" s="108"/>
      <c r="J109" s="108"/>
      <c r="K109" s="108"/>
      <c r="L109" s="108"/>
      <c r="M109" s="108"/>
    </row>
    <row r="110" spans="1:37" ht="12.75">
      <c r="A110" s="94"/>
      <c r="B110" s="95" t="s">
        <v>104</v>
      </c>
      <c r="C110" s="95" t="s">
        <v>310</v>
      </c>
      <c r="D110" s="95" t="s">
        <v>311</v>
      </c>
      <c r="E110" s="95"/>
      <c r="F110" s="95"/>
      <c r="G110" s="95"/>
      <c r="H110" s="96">
        <f>SUM(H111:H116)</f>
        <v>0</v>
      </c>
      <c r="I110" s="96">
        <f>SUM(I111:I116)</f>
        <v>0</v>
      </c>
      <c r="J110" s="96">
        <f>H110+I110</f>
        <v>0</v>
      </c>
      <c r="K110" s="97"/>
      <c r="L110" s="96">
        <f>SUM(L111:L116)</f>
        <v>0.045</v>
      </c>
      <c r="M110" s="97"/>
      <c r="P110" s="98">
        <f>IF(Q110="PR",J110,SUM(O111:O116))</f>
        <v>0</v>
      </c>
      <c r="Q110" s="89" t="s">
        <v>108</v>
      </c>
      <c r="R110" s="98">
        <f>IF(Q110="HS",H110,0)</f>
        <v>0</v>
      </c>
      <c r="S110" s="98">
        <f>IF(Q110="HS",I110-P110,0)</f>
        <v>0</v>
      </c>
      <c r="T110" s="98">
        <f>IF(Q110="PS",H110,0)</f>
        <v>0</v>
      </c>
      <c r="U110" s="98">
        <f>IF(Q110="PS",I110-P110,0)</f>
        <v>0</v>
      </c>
      <c r="V110" s="98">
        <f>IF(Q110="MP",H110,0)</f>
        <v>0</v>
      </c>
      <c r="W110" s="98">
        <f>IF(Q110="MP",I110-P110,0)</f>
        <v>0</v>
      </c>
      <c r="X110" s="98">
        <f>IF(Q110="OM",H110,0)</f>
        <v>0</v>
      </c>
      <c r="Y110" s="89" t="s">
        <v>104</v>
      </c>
      <c r="AI110" s="98">
        <f>SUM(Z111:Z116)</f>
        <v>0</v>
      </c>
      <c r="AJ110" s="98">
        <f>SUM(AA111:AA116)</f>
        <v>0</v>
      </c>
      <c r="AK110" s="98">
        <f>SUM(AB111:AB116)</f>
        <v>0</v>
      </c>
    </row>
    <row r="111" spans="1:43" ht="12.75">
      <c r="A111" s="67" t="s">
        <v>312</v>
      </c>
      <c r="B111" s="67" t="s">
        <v>104</v>
      </c>
      <c r="C111" s="67" t="s">
        <v>313</v>
      </c>
      <c r="D111" s="67" t="s">
        <v>314</v>
      </c>
      <c r="E111" s="67" t="s">
        <v>257</v>
      </c>
      <c r="F111" s="99">
        <v>6</v>
      </c>
      <c r="G111" s="100"/>
      <c r="H111" s="100">
        <f>F111*AE111</f>
        <v>0</v>
      </c>
      <c r="I111" s="100">
        <f>J111-H111</f>
        <v>0</v>
      </c>
      <c r="J111" s="100">
        <f>F111*G111</f>
        <v>0</v>
      </c>
      <c r="K111" s="100">
        <v>0</v>
      </c>
      <c r="L111" s="100">
        <f>F111*K111</f>
        <v>0</v>
      </c>
      <c r="M111" s="101" t="s">
        <v>112</v>
      </c>
      <c r="N111" s="102" t="s">
        <v>106</v>
      </c>
      <c r="O111" s="103">
        <f>IF(N111="5",I111,0)</f>
        <v>0</v>
      </c>
      <c r="Z111" s="103">
        <f>IF(AD111=0,J111,0)</f>
        <v>0</v>
      </c>
      <c r="AA111" s="103">
        <f>IF(AD111=15,J111,0)</f>
        <v>0</v>
      </c>
      <c r="AB111" s="103">
        <f>IF(AD111=21,J111,0)</f>
        <v>0</v>
      </c>
      <c r="AD111" s="103">
        <v>21</v>
      </c>
      <c r="AE111" s="103">
        <f>G111*0.147682119205298</f>
        <v>0</v>
      </c>
      <c r="AF111" s="103">
        <f>G111*(1-0.147682119205298)</f>
        <v>0</v>
      </c>
      <c r="AM111" s="103">
        <f>F111*AE111</f>
        <v>0</v>
      </c>
      <c r="AN111" s="103">
        <f>F111*AF111</f>
        <v>0</v>
      </c>
      <c r="AO111" s="102" t="s">
        <v>315</v>
      </c>
      <c r="AP111" s="102" t="s">
        <v>281</v>
      </c>
      <c r="AQ111" s="89" t="s">
        <v>115</v>
      </c>
    </row>
    <row r="112" spans="1:13" ht="12.75">
      <c r="A112" s="104"/>
      <c r="B112" s="104"/>
      <c r="C112" s="104"/>
      <c r="D112" s="105" t="s">
        <v>136</v>
      </c>
      <c r="E112" s="104"/>
      <c r="F112" s="106">
        <v>6</v>
      </c>
      <c r="G112" s="104"/>
      <c r="H112" s="104"/>
      <c r="I112" s="104"/>
      <c r="J112" s="104"/>
      <c r="K112" s="104"/>
      <c r="L112" s="104"/>
      <c r="M112" s="104"/>
    </row>
    <row r="113" spans="1:13" ht="12.75" customHeight="1">
      <c r="A113" s="104"/>
      <c r="B113" s="104"/>
      <c r="C113" s="107" t="s">
        <v>64</v>
      </c>
      <c r="D113" s="108" t="s">
        <v>316</v>
      </c>
      <c r="E113" s="108"/>
      <c r="F113" s="108"/>
      <c r="G113" s="108"/>
      <c r="H113" s="108"/>
      <c r="I113" s="108"/>
      <c r="J113" s="108"/>
      <c r="K113" s="108"/>
      <c r="L113" s="108"/>
      <c r="M113" s="108"/>
    </row>
    <row r="114" spans="1:43" ht="12.75">
      <c r="A114" s="109" t="s">
        <v>317</v>
      </c>
      <c r="B114" s="109" t="s">
        <v>104</v>
      </c>
      <c r="C114" s="109" t="s">
        <v>318</v>
      </c>
      <c r="D114" s="109" t="s">
        <v>319</v>
      </c>
      <c r="E114" s="109" t="s">
        <v>257</v>
      </c>
      <c r="F114" s="110">
        <v>1</v>
      </c>
      <c r="G114" s="111"/>
      <c r="H114" s="111">
        <f>F114*AE114</f>
        <v>0</v>
      </c>
      <c r="I114" s="111">
        <f>J114-H114</f>
        <v>0</v>
      </c>
      <c r="J114" s="111">
        <f>F114*G114</f>
        <v>0</v>
      </c>
      <c r="K114" s="111">
        <v>0.045</v>
      </c>
      <c r="L114" s="111">
        <f>F114*K114</f>
        <v>0.045</v>
      </c>
      <c r="M114" s="112" t="s">
        <v>112</v>
      </c>
      <c r="N114" s="113" t="s">
        <v>243</v>
      </c>
      <c r="O114" s="114">
        <f>IF(N114="5",I114,0)</f>
        <v>0</v>
      </c>
      <c r="Z114" s="114">
        <f>IF(AD114=0,J114,0)</f>
        <v>0</v>
      </c>
      <c r="AA114" s="114">
        <f>IF(AD114=15,J114,0)</f>
        <v>0</v>
      </c>
      <c r="AB114" s="114">
        <f>IF(AD114=21,J114,0)</f>
        <v>0</v>
      </c>
      <c r="AD114" s="103">
        <v>21</v>
      </c>
      <c r="AE114" s="103">
        <f>G114*1</f>
        <v>0</v>
      </c>
      <c r="AF114" s="103">
        <f>G114*(1-1)</f>
        <v>0</v>
      </c>
      <c r="AM114" s="103">
        <f>F114*AE114</f>
        <v>0</v>
      </c>
      <c r="AN114" s="103">
        <f>F114*AF114</f>
        <v>0</v>
      </c>
      <c r="AO114" s="102" t="s">
        <v>315</v>
      </c>
      <c r="AP114" s="102" t="s">
        <v>281</v>
      </c>
      <c r="AQ114" s="89" t="s">
        <v>115</v>
      </c>
    </row>
    <row r="115" spans="1:13" ht="12.75">
      <c r="A115" s="104"/>
      <c r="B115" s="104"/>
      <c r="C115" s="104"/>
      <c r="D115" s="105" t="s">
        <v>106</v>
      </c>
      <c r="E115" s="104"/>
      <c r="F115" s="106">
        <v>1</v>
      </c>
      <c r="G115" s="104"/>
      <c r="H115" s="104"/>
      <c r="I115" s="104"/>
      <c r="J115" s="104"/>
      <c r="K115" s="104"/>
      <c r="L115" s="104"/>
      <c r="M115" s="104"/>
    </row>
    <row r="116" spans="1:43" ht="12.75">
      <c r="A116" s="115" t="s">
        <v>18</v>
      </c>
      <c r="B116" s="115" t="s">
        <v>104</v>
      </c>
      <c r="C116" s="115" t="s">
        <v>320</v>
      </c>
      <c r="D116" s="115" t="s">
        <v>321</v>
      </c>
      <c r="E116" s="115" t="s">
        <v>147</v>
      </c>
      <c r="F116" s="116">
        <v>104.415</v>
      </c>
      <c r="G116" s="117"/>
      <c r="H116" s="117">
        <f>F116*AE116</f>
        <v>0</v>
      </c>
      <c r="I116" s="117">
        <f>J116-H116</f>
        <v>0</v>
      </c>
      <c r="J116" s="117">
        <f>F116*G116</f>
        <v>0</v>
      </c>
      <c r="K116" s="117">
        <v>0</v>
      </c>
      <c r="L116" s="117">
        <f>F116*K116</f>
        <v>0</v>
      </c>
      <c r="M116" s="118" t="s">
        <v>112</v>
      </c>
      <c r="N116" s="102" t="s">
        <v>132</v>
      </c>
      <c r="O116" s="103">
        <f>IF(N116="5",I116,0)</f>
        <v>0</v>
      </c>
      <c r="Z116" s="103">
        <f>IF(AD116=0,J116,0)</f>
        <v>0</v>
      </c>
      <c r="AA116" s="103">
        <f>IF(AD116=15,J116,0)</f>
        <v>0</v>
      </c>
      <c r="AB116" s="103">
        <f>IF(AD116=21,J116,0)</f>
        <v>0</v>
      </c>
      <c r="AD116" s="103">
        <v>21</v>
      </c>
      <c r="AE116" s="103">
        <f>G116*0</f>
        <v>0</v>
      </c>
      <c r="AF116" s="103">
        <f>G116*(1-0)</f>
        <v>0</v>
      </c>
      <c r="AM116" s="103">
        <f>F116*AE116</f>
        <v>0</v>
      </c>
      <c r="AN116" s="103">
        <f>F116*AF116</f>
        <v>0</v>
      </c>
      <c r="AO116" s="102" t="s">
        <v>315</v>
      </c>
      <c r="AP116" s="102" t="s">
        <v>281</v>
      </c>
      <c r="AQ116" s="89" t="s">
        <v>115</v>
      </c>
    </row>
    <row r="117" spans="1:28" ht="12.75">
      <c r="A117" s="119"/>
      <c r="B117" s="119"/>
      <c r="C117" s="119"/>
      <c r="D117" s="119"/>
      <c r="E117" s="119"/>
      <c r="F117" s="119"/>
      <c r="G117" s="119"/>
      <c r="H117" s="120" t="s">
        <v>322</v>
      </c>
      <c r="I117" s="120"/>
      <c r="J117" s="121">
        <f>J13+J20+J32+J35+J42+J57+J63+J70+J83+J88+J91+J96+J110</f>
        <v>0</v>
      </c>
      <c r="K117" s="119"/>
      <c r="L117" s="119"/>
      <c r="M117" s="119"/>
      <c r="Z117" s="122">
        <f>SUM(Z13:Z116)</f>
        <v>0</v>
      </c>
      <c r="AA117" s="122">
        <f>SUM(AA13:AA116)</f>
        <v>0</v>
      </c>
      <c r="AB117" s="122">
        <f>SUM(AB13:AB116)</f>
        <v>0</v>
      </c>
    </row>
    <row r="118" spans="1:13" ht="11.25" customHeight="1">
      <c r="A118" s="123" t="s">
        <v>64</v>
      </c>
      <c r="B118" s="104"/>
      <c r="C118" s="104"/>
      <c r="D118" s="104"/>
      <c r="E118" s="104"/>
      <c r="F118" s="104"/>
      <c r="G118" s="104"/>
      <c r="H118" s="104"/>
      <c r="I118" s="104"/>
      <c r="J118" s="104"/>
      <c r="K118" s="104"/>
      <c r="L118" s="104"/>
      <c r="M118" s="104"/>
    </row>
    <row r="119" spans="1:13" ht="51" customHeight="1">
      <c r="A119" s="66" t="s">
        <v>65</v>
      </c>
      <c r="B119" s="66"/>
      <c r="C119" s="66"/>
      <c r="D119" s="66"/>
      <c r="E119" s="66"/>
      <c r="F119" s="66"/>
      <c r="G119" s="66"/>
      <c r="H119" s="66"/>
      <c r="I119" s="66"/>
      <c r="J119" s="66"/>
      <c r="K119" s="66"/>
      <c r="L119" s="66"/>
      <c r="M119" s="66"/>
    </row>
    <row r="120" spans="1:13" ht="12.75">
      <c r="A120" s="104"/>
      <c r="B120" s="104"/>
      <c r="C120" s="104"/>
      <c r="D120" s="104"/>
      <c r="E120" s="104"/>
      <c r="F120" s="104"/>
      <c r="G120" s="104"/>
      <c r="H120" s="104"/>
      <c r="I120" s="104"/>
      <c r="J120" s="104"/>
      <c r="K120" s="104"/>
      <c r="L120" s="104"/>
      <c r="M120" s="104"/>
    </row>
  </sheetData>
  <mergeCells count="46">
    <mergeCell ref="A1:M1"/>
    <mergeCell ref="A2:C3"/>
    <mergeCell ref="D2:D3"/>
    <mergeCell ref="E2:F3"/>
    <mergeCell ref="G2:H3"/>
    <mergeCell ref="I2:I3"/>
    <mergeCell ref="J2:M3"/>
    <mergeCell ref="A4:C5"/>
    <mergeCell ref="D4:D5"/>
    <mergeCell ref="E4:F5"/>
    <mergeCell ref="G4:H5"/>
    <mergeCell ref="I4:I5"/>
    <mergeCell ref="J4:M5"/>
    <mergeCell ref="A6:C7"/>
    <mergeCell ref="D6:D7"/>
    <mergeCell ref="E6:F7"/>
    <mergeCell ref="G6:H7"/>
    <mergeCell ref="I6:I7"/>
    <mergeCell ref="J6:M7"/>
    <mergeCell ref="A8:C9"/>
    <mergeCell ref="D8:D9"/>
    <mergeCell ref="E8:F9"/>
    <mergeCell ref="G8:H9"/>
    <mergeCell ref="I8:I9"/>
    <mergeCell ref="J8:M9"/>
    <mergeCell ref="H10:J10"/>
    <mergeCell ref="K10:L10"/>
    <mergeCell ref="D12:G12"/>
    <mergeCell ref="D13:G13"/>
    <mergeCell ref="D20:G20"/>
    <mergeCell ref="D32:G32"/>
    <mergeCell ref="D35:G35"/>
    <mergeCell ref="D42:G42"/>
    <mergeCell ref="D57:G57"/>
    <mergeCell ref="D60:M60"/>
    <mergeCell ref="D63:G63"/>
    <mergeCell ref="D70:G70"/>
    <mergeCell ref="D83:G83"/>
    <mergeCell ref="D88:G88"/>
    <mergeCell ref="D91:G91"/>
    <mergeCell ref="D96:G96"/>
    <mergeCell ref="D109:M109"/>
    <mergeCell ref="D110:G110"/>
    <mergeCell ref="D113:M113"/>
    <mergeCell ref="H117:I117"/>
    <mergeCell ref="A119:M119"/>
  </mergeCells>
  <printOptions/>
  <pageMargins left="0.39375" right="0.39375" top="0.5909722222222222" bottom="0.5909722222222222" header="0.5118055555555555" footer="0.5118055555555555"/>
  <pageSetup fitToHeight="0"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BH183"/>
  <sheetViews>
    <sheetView view="pageBreakPreview" zoomScale="90" zoomScaleSheetLayoutView="90" workbookViewId="0" topLeftCell="A1">
      <selection activeCell="F40" sqref="F40"/>
    </sheetView>
  </sheetViews>
  <sheetFormatPr defaultColWidth="9.140625" defaultRowHeight="12.75" outlineLevelRow="1"/>
  <cols>
    <col min="1" max="1" width="4.28125" style="124" customWidth="1"/>
    <col min="2" max="2" width="14.421875" style="125" customWidth="1"/>
    <col min="3" max="3" width="38.28125" style="125" customWidth="1"/>
    <col min="4" max="4" width="4.57421875" style="124" customWidth="1"/>
    <col min="5" max="5" width="10.57421875" style="124" customWidth="1"/>
    <col min="6" max="6" width="9.8515625" style="124" customWidth="1"/>
    <col min="7" max="7" width="12.7109375" style="124" customWidth="1"/>
    <col min="8" max="21" width="0" style="124" hidden="1" customWidth="1"/>
    <col min="22" max="28" width="9.140625" style="124" customWidth="1"/>
    <col min="29" max="39" width="0" style="124" hidden="1" customWidth="1"/>
    <col min="40" max="16384" width="9.140625" style="124" customWidth="1"/>
  </cols>
  <sheetData>
    <row r="1" spans="1:31" ht="15.75" customHeight="1">
      <c r="A1" s="126" t="s">
        <v>323</v>
      </c>
      <c r="B1" s="126"/>
      <c r="C1" s="126"/>
      <c r="D1" s="126"/>
      <c r="E1" s="126"/>
      <c r="F1" s="126"/>
      <c r="G1" s="126"/>
      <c r="AE1" s="124" t="s">
        <v>324</v>
      </c>
    </row>
    <row r="2" spans="1:31" ht="24.75" customHeight="1">
      <c r="A2" s="127" t="s">
        <v>325</v>
      </c>
      <c r="B2" s="128"/>
      <c r="C2" s="129" t="s">
        <v>326</v>
      </c>
      <c r="D2" s="129"/>
      <c r="E2" s="129"/>
      <c r="F2" s="129"/>
      <c r="G2" s="129"/>
      <c r="AE2" s="124" t="s">
        <v>327</v>
      </c>
    </row>
    <row r="3" spans="1:31" ht="12.75" customHeight="1" hidden="1">
      <c r="A3" s="127" t="s">
        <v>328</v>
      </c>
      <c r="B3" s="128"/>
      <c r="C3" s="130"/>
      <c r="D3" s="130"/>
      <c r="E3" s="130"/>
      <c r="F3" s="130"/>
      <c r="G3" s="130"/>
      <c r="AE3" s="124" t="s">
        <v>329</v>
      </c>
    </row>
    <row r="4" spans="1:31" ht="12.75" customHeight="1" hidden="1">
      <c r="A4" s="127" t="s">
        <v>330</v>
      </c>
      <c r="B4" s="128"/>
      <c r="C4" s="129"/>
      <c r="D4" s="129"/>
      <c r="E4" s="129"/>
      <c r="F4" s="129"/>
      <c r="G4" s="129"/>
      <c r="AE4" s="124" t="s">
        <v>331</v>
      </c>
    </row>
    <row r="5" spans="1:31" ht="12.75" hidden="1">
      <c r="A5" s="131" t="s">
        <v>332</v>
      </c>
      <c r="B5" s="132"/>
      <c r="C5" s="133"/>
      <c r="D5" s="134"/>
      <c r="E5" s="135"/>
      <c r="F5" s="135"/>
      <c r="G5" s="136"/>
      <c r="AE5" s="124" t="s">
        <v>333</v>
      </c>
    </row>
    <row r="6" ht="12.75">
      <c r="D6" s="137"/>
    </row>
    <row r="7" spans="1:21" ht="36.75">
      <c r="A7" s="138" t="s">
        <v>334</v>
      </c>
      <c r="B7" s="139" t="s">
        <v>335</v>
      </c>
      <c r="C7" s="139" t="s">
        <v>336</v>
      </c>
      <c r="D7" s="140" t="s">
        <v>337</v>
      </c>
      <c r="E7" s="138" t="s">
        <v>338</v>
      </c>
      <c r="F7" s="141" t="s">
        <v>339</v>
      </c>
      <c r="G7" s="138" t="s">
        <v>93</v>
      </c>
      <c r="H7" s="142" t="s">
        <v>92</v>
      </c>
      <c r="I7" s="142" t="s">
        <v>340</v>
      </c>
      <c r="J7" s="142" t="s">
        <v>34</v>
      </c>
      <c r="K7" s="142" t="s">
        <v>341</v>
      </c>
      <c r="L7" s="142" t="s">
        <v>342</v>
      </c>
      <c r="M7" s="142" t="s">
        <v>343</v>
      </c>
      <c r="N7" s="142" t="s">
        <v>344</v>
      </c>
      <c r="O7" s="142" t="s">
        <v>345</v>
      </c>
      <c r="P7" s="142" t="s">
        <v>346</v>
      </c>
      <c r="Q7" s="142" t="s">
        <v>347</v>
      </c>
      <c r="R7" s="142" t="s">
        <v>348</v>
      </c>
      <c r="S7" s="142" t="s">
        <v>349</v>
      </c>
      <c r="T7" s="142" t="s">
        <v>350</v>
      </c>
      <c r="U7" s="142" t="s">
        <v>351</v>
      </c>
    </row>
    <row r="8" spans="1:31" ht="12.75">
      <c r="A8" s="143" t="s">
        <v>352</v>
      </c>
      <c r="B8" s="144" t="s">
        <v>106</v>
      </c>
      <c r="C8" s="145" t="s">
        <v>107</v>
      </c>
      <c r="D8" s="146"/>
      <c r="E8" s="147"/>
      <c r="F8" s="148"/>
      <c r="G8" s="148">
        <f>SUMIF(AE9:AE21,"&lt;&gt;NOR",G9:G21)</f>
        <v>0</v>
      </c>
      <c r="H8" s="148"/>
      <c r="I8" s="148">
        <f>SUM(I9:I21)</f>
        <v>914.91</v>
      </c>
      <c r="J8" s="148"/>
      <c r="K8" s="148">
        <f>SUM(K9:K21)</f>
        <v>4814.16</v>
      </c>
      <c r="L8" s="148"/>
      <c r="M8" s="148">
        <f>SUM(M9:M21)</f>
        <v>0</v>
      </c>
      <c r="N8" s="148"/>
      <c r="O8" s="148">
        <f>SUM(O9:O21)</f>
        <v>3.35</v>
      </c>
      <c r="P8" s="148"/>
      <c r="Q8" s="148">
        <f>SUM(Q9:Q21)</f>
        <v>0</v>
      </c>
      <c r="R8" s="148"/>
      <c r="S8" s="148"/>
      <c r="T8" s="149"/>
      <c r="U8" s="148">
        <f>SUM(U9:U21)</f>
        <v>11.889999999999999</v>
      </c>
      <c r="AE8" s="124" t="s">
        <v>353</v>
      </c>
    </row>
    <row r="9" spans="1:60" ht="12.75" outlineLevel="1">
      <c r="A9" s="150">
        <v>1</v>
      </c>
      <c r="B9" s="151" t="s">
        <v>354</v>
      </c>
      <c r="C9" s="152" t="s">
        <v>355</v>
      </c>
      <c r="D9" s="153" t="s">
        <v>111</v>
      </c>
      <c r="E9" s="154">
        <v>4.86</v>
      </c>
      <c r="F9" s="155"/>
      <c r="G9" s="155">
        <f>E9*F9</f>
        <v>0</v>
      </c>
      <c r="H9" s="155">
        <v>0</v>
      </c>
      <c r="I9" s="155">
        <f>ROUND(E9*H9,2)</f>
        <v>0</v>
      </c>
      <c r="J9" s="155">
        <v>427</v>
      </c>
      <c r="K9" s="155">
        <f>ROUND(E9*J9,2)</f>
        <v>2075.22</v>
      </c>
      <c r="L9" s="155">
        <v>21</v>
      </c>
      <c r="M9" s="155">
        <f>G9*(1+L9/100)</f>
        <v>0</v>
      </c>
      <c r="N9" s="155">
        <v>0</v>
      </c>
      <c r="O9" s="155">
        <f>ROUND(E9*N9,2)</f>
        <v>0</v>
      </c>
      <c r="P9" s="155">
        <v>0</v>
      </c>
      <c r="Q9" s="155">
        <f>ROUND(E9*P9,2)</f>
        <v>0</v>
      </c>
      <c r="R9" s="155"/>
      <c r="S9" s="155"/>
      <c r="T9" s="156">
        <v>0.365</v>
      </c>
      <c r="U9" s="155">
        <f>ROUND(E9*T9,2)</f>
        <v>1.77</v>
      </c>
      <c r="V9" s="157"/>
      <c r="W9" s="157"/>
      <c r="X9" s="157"/>
      <c r="Y9" s="157"/>
      <c r="Z9" s="157"/>
      <c r="AA9" s="157"/>
      <c r="AB9" s="157"/>
      <c r="AC9" s="157"/>
      <c r="AD9" s="157"/>
      <c r="AE9" s="157" t="s">
        <v>356</v>
      </c>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row>
    <row r="10" spans="1:60" ht="12.75" outlineLevel="1">
      <c r="A10" s="150"/>
      <c r="B10" s="151"/>
      <c r="C10" s="158" t="s">
        <v>357</v>
      </c>
      <c r="D10" s="159"/>
      <c r="E10" s="160">
        <v>4.86</v>
      </c>
      <c r="F10" s="155"/>
      <c r="G10" s="155"/>
      <c r="H10" s="155"/>
      <c r="I10" s="155"/>
      <c r="J10" s="155"/>
      <c r="K10" s="155"/>
      <c r="L10" s="155"/>
      <c r="M10" s="155"/>
      <c r="N10" s="155"/>
      <c r="O10" s="155"/>
      <c r="P10" s="155"/>
      <c r="Q10" s="155"/>
      <c r="R10" s="155"/>
      <c r="S10" s="155"/>
      <c r="T10" s="156"/>
      <c r="U10" s="155"/>
      <c r="V10" s="157"/>
      <c r="W10" s="157"/>
      <c r="X10" s="157"/>
      <c r="Y10" s="157"/>
      <c r="Z10" s="157"/>
      <c r="AA10" s="157"/>
      <c r="AB10" s="157"/>
      <c r="AC10" s="157"/>
      <c r="AD10" s="157"/>
      <c r="AE10" s="157" t="s">
        <v>358</v>
      </c>
      <c r="AF10" s="157">
        <v>0</v>
      </c>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row>
    <row r="11" spans="1:60" ht="12.75" outlineLevel="1">
      <c r="A11" s="150">
        <v>2</v>
      </c>
      <c r="B11" s="151" t="s">
        <v>359</v>
      </c>
      <c r="C11" s="152" t="s">
        <v>360</v>
      </c>
      <c r="D11" s="153" t="s">
        <v>111</v>
      </c>
      <c r="E11" s="154">
        <v>2.43</v>
      </c>
      <c r="F11" s="155"/>
      <c r="G11" s="155">
        <f aca="true" t="shared" si="0" ref="G11:G19">E11*F11</f>
        <v>0</v>
      </c>
      <c r="H11" s="155">
        <v>0</v>
      </c>
      <c r="I11" s="155">
        <f>ROUND(E11*H11,2)</f>
        <v>0</v>
      </c>
      <c r="J11" s="155">
        <v>423.5</v>
      </c>
      <c r="K11" s="155">
        <f>ROUND(E11*J11,2)</f>
        <v>1029.11</v>
      </c>
      <c r="L11" s="155">
        <v>21</v>
      </c>
      <c r="M11" s="155">
        <f>G11*(1+L11/100)</f>
        <v>0</v>
      </c>
      <c r="N11" s="155">
        <v>0</v>
      </c>
      <c r="O11" s="155">
        <f>ROUND(E11*N11,2)</f>
        <v>0</v>
      </c>
      <c r="P11" s="155">
        <v>0</v>
      </c>
      <c r="Q11" s="155">
        <f>ROUND(E11*P11,2)</f>
        <v>0</v>
      </c>
      <c r="R11" s="155"/>
      <c r="S11" s="155"/>
      <c r="T11" s="156">
        <v>1.763</v>
      </c>
      <c r="U11" s="155">
        <f>ROUND(E11*T11,2)</f>
        <v>4.28</v>
      </c>
      <c r="V11" s="157"/>
      <c r="W11" s="157"/>
      <c r="X11" s="157"/>
      <c r="Y11" s="157"/>
      <c r="Z11" s="157"/>
      <c r="AA11" s="157"/>
      <c r="AB11" s="157"/>
      <c r="AC11" s="157"/>
      <c r="AD11" s="157"/>
      <c r="AE11" s="157" t="s">
        <v>356</v>
      </c>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row>
    <row r="12" spans="1:60" ht="12.75" outlineLevel="1">
      <c r="A12" s="150"/>
      <c r="B12" s="151"/>
      <c r="C12" s="158" t="s">
        <v>361</v>
      </c>
      <c r="D12" s="159"/>
      <c r="E12" s="160">
        <v>2.43</v>
      </c>
      <c r="F12" s="155"/>
      <c r="G12" s="155"/>
      <c r="H12" s="155"/>
      <c r="I12" s="155"/>
      <c r="J12" s="155"/>
      <c r="K12" s="155"/>
      <c r="L12" s="155"/>
      <c r="M12" s="155"/>
      <c r="N12" s="155"/>
      <c r="O12" s="155"/>
      <c r="P12" s="155"/>
      <c r="Q12" s="155"/>
      <c r="R12" s="155"/>
      <c r="S12" s="155"/>
      <c r="T12" s="156"/>
      <c r="U12" s="155"/>
      <c r="V12" s="157"/>
      <c r="W12" s="157"/>
      <c r="X12" s="157"/>
      <c r="Y12" s="157"/>
      <c r="Z12" s="157"/>
      <c r="AA12" s="157"/>
      <c r="AB12" s="157"/>
      <c r="AC12" s="157"/>
      <c r="AD12" s="157"/>
      <c r="AE12" s="157" t="s">
        <v>358</v>
      </c>
      <c r="AF12" s="157">
        <v>0</v>
      </c>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row>
    <row r="13" spans="1:60" ht="12.75" outlineLevel="1">
      <c r="A13" s="150">
        <v>3</v>
      </c>
      <c r="B13" s="151" t="s">
        <v>362</v>
      </c>
      <c r="C13" s="152" t="s">
        <v>363</v>
      </c>
      <c r="D13" s="153" t="s">
        <v>111</v>
      </c>
      <c r="E13" s="154">
        <v>2.97</v>
      </c>
      <c r="F13" s="155"/>
      <c r="G13" s="155">
        <f t="shared" si="0"/>
        <v>0</v>
      </c>
      <c r="H13" s="155">
        <v>0</v>
      </c>
      <c r="I13" s="155">
        <f>ROUND(E13*H13,2)</f>
        <v>0</v>
      </c>
      <c r="J13" s="155">
        <v>34</v>
      </c>
      <c r="K13" s="155">
        <f>ROUND(E13*J13,2)</f>
        <v>100.98</v>
      </c>
      <c r="L13" s="155">
        <v>21</v>
      </c>
      <c r="M13" s="155">
        <f>G13*(1+L13/100)</f>
        <v>0</v>
      </c>
      <c r="N13" s="155">
        <v>0</v>
      </c>
      <c r="O13" s="155">
        <f>ROUND(E13*N13,2)</f>
        <v>0</v>
      </c>
      <c r="P13" s="155">
        <v>0</v>
      </c>
      <c r="Q13" s="155">
        <f>ROUND(E13*P13,2)</f>
        <v>0</v>
      </c>
      <c r="R13" s="155"/>
      <c r="S13" s="155"/>
      <c r="T13" s="156">
        <v>0.074</v>
      </c>
      <c r="U13" s="155">
        <f>ROUND(E13*T13,2)</f>
        <v>0.22</v>
      </c>
      <c r="V13" s="157"/>
      <c r="W13" s="157"/>
      <c r="X13" s="157"/>
      <c r="Y13" s="157"/>
      <c r="Z13" s="157"/>
      <c r="AA13" s="157"/>
      <c r="AB13" s="157"/>
      <c r="AC13" s="157"/>
      <c r="AD13" s="157"/>
      <c r="AE13" s="157" t="s">
        <v>356</v>
      </c>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row>
    <row r="14" spans="1:60" ht="12.75" outlineLevel="1">
      <c r="A14" s="150"/>
      <c r="B14" s="151"/>
      <c r="C14" s="158" t="s">
        <v>364</v>
      </c>
      <c r="D14" s="159"/>
      <c r="E14" s="160">
        <v>2.97</v>
      </c>
      <c r="F14" s="155"/>
      <c r="G14" s="155"/>
      <c r="H14" s="155"/>
      <c r="I14" s="155"/>
      <c r="J14" s="155"/>
      <c r="K14" s="155"/>
      <c r="L14" s="155"/>
      <c r="M14" s="155"/>
      <c r="N14" s="155"/>
      <c r="O14" s="155"/>
      <c r="P14" s="155"/>
      <c r="Q14" s="155"/>
      <c r="R14" s="155"/>
      <c r="S14" s="155"/>
      <c r="T14" s="156"/>
      <c r="U14" s="155"/>
      <c r="V14" s="157"/>
      <c r="W14" s="157"/>
      <c r="X14" s="157"/>
      <c r="Y14" s="157"/>
      <c r="Z14" s="157"/>
      <c r="AA14" s="157"/>
      <c r="AB14" s="157"/>
      <c r="AC14" s="157"/>
      <c r="AD14" s="157"/>
      <c r="AE14" s="157" t="s">
        <v>358</v>
      </c>
      <c r="AF14" s="157">
        <v>0</v>
      </c>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row>
    <row r="15" spans="1:60" ht="12.75" outlineLevel="1">
      <c r="A15" s="150">
        <v>4</v>
      </c>
      <c r="B15" s="151" t="s">
        <v>365</v>
      </c>
      <c r="C15" s="152" t="s">
        <v>366</v>
      </c>
      <c r="D15" s="153" t="s">
        <v>111</v>
      </c>
      <c r="E15" s="154">
        <v>2.97</v>
      </c>
      <c r="F15" s="155"/>
      <c r="G15" s="155">
        <f t="shared" si="0"/>
        <v>0</v>
      </c>
      <c r="H15" s="155">
        <v>0</v>
      </c>
      <c r="I15" s="155">
        <f>ROUND(E15*H15,2)</f>
        <v>0</v>
      </c>
      <c r="J15" s="155">
        <v>22</v>
      </c>
      <c r="K15" s="155">
        <f>ROUND(E15*J15,2)</f>
        <v>65.34</v>
      </c>
      <c r="L15" s="155">
        <v>21</v>
      </c>
      <c r="M15" s="155">
        <f>G15*(1+L15/100)</f>
        <v>0</v>
      </c>
      <c r="N15" s="155">
        <v>0</v>
      </c>
      <c r="O15" s="155">
        <f>ROUND(E15*N15,2)</f>
        <v>0</v>
      </c>
      <c r="P15" s="155">
        <v>0</v>
      </c>
      <c r="Q15" s="155">
        <f>ROUND(E15*P15,2)</f>
        <v>0</v>
      </c>
      <c r="R15" s="155"/>
      <c r="S15" s="155"/>
      <c r="T15" s="156">
        <v>0.031</v>
      </c>
      <c r="U15" s="155">
        <f>ROUND(E15*T15,2)</f>
        <v>0.09</v>
      </c>
      <c r="V15" s="157"/>
      <c r="W15" s="157"/>
      <c r="X15" s="157"/>
      <c r="Y15" s="157"/>
      <c r="Z15" s="157"/>
      <c r="AA15" s="157"/>
      <c r="AB15" s="157"/>
      <c r="AC15" s="157"/>
      <c r="AD15" s="157"/>
      <c r="AE15" s="157" t="s">
        <v>356</v>
      </c>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row>
    <row r="16" spans="1:60" ht="12.75" outlineLevel="1">
      <c r="A16" s="150">
        <v>5</v>
      </c>
      <c r="B16" s="151" t="s">
        <v>367</v>
      </c>
      <c r="C16" s="152" t="s">
        <v>368</v>
      </c>
      <c r="D16" s="153" t="s">
        <v>111</v>
      </c>
      <c r="E16" s="154">
        <v>2.97</v>
      </c>
      <c r="F16" s="155"/>
      <c r="G16" s="155">
        <f t="shared" si="0"/>
        <v>0</v>
      </c>
      <c r="H16" s="155">
        <v>0</v>
      </c>
      <c r="I16" s="155">
        <f>ROUND(E16*H16,2)</f>
        <v>0</v>
      </c>
      <c r="J16" s="155">
        <v>167</v>
      </c>
      <c r="K16" s="155">
        <f>ROUND(E16*J16,2)</f>
        <v>495.99</v>
      </c>
      <c r="L16" s="155">
        <v>21</v>
      </c>
      <c r="M16" s="155">
        <f>G16*(1+L16/100)</f>
        <v>0</v>
      </c>
      <c r="N16" s="155">
        <v>0</v>
      </c>
      <c r="O16" s="155">
        <f>ROUND(E16*N16,2)</f>
        <v>0</v>
      </c>
      <c r="P16" s="155">
        <v>0</v>
      </c>
      <c r="Q16" s="155">
        <f>ROUND(E16*P16,2)</f>
        <v>0</v>
      </c>
      <c r="R16" s="155"/>
      <c r="S16" s="155"/>
      <c r="T16" s="156">
        <v>0.652</v>
      </c>
      <c r="U16" s="155">
        <f>ROUND(E16*T16,2)</f>
        <v>1.94</v>
      </c>
      <c r="V16" s="157"/>
      <c r="W16" s="157"/>
      <c r="X16" s="157"/>
      <c r="Y16" s="157"/>
      <c r="Z16" s="157"/>
      <c r="AA16" s="157"/>
      <c r="AB16" s="157"/>
      <c r="AC16" s="157"/>
      <c r="AD16" s="157"/>
      <c r="AE16" s="157" t="s">
        <v>356</v>
      </c>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row>
    <row r="17" spans="1:60" ht="12.75" outlineLevel="1">
      <c r="A17" s="150">
        <v>6</v>
      </c>
      <c r="B17" s="151" t="s">
        <v>118</v>
      </c>
      <c r="C17" s="152" t="s">
        <v>119</v>
      </c>
      <c r="D17" s="153" t="s">
        <v>111</v>
      </c>
      <c r="E17" s="154">
        <v>1.89</v>
      </c>
      <c r="F17" s="155"/>
      <c r="G17" s="155">
        <f t="shared" si="0"/>
        <v>0</v>
      </c>
      <c r="H17" s="155">
        <v>0</v>
      </c>
      <c r="I17" s="155">
        <f>ROUND(E17*H17,2)</f>
        <v>0</v>
      </c>
      <c r="J17" s="155">
        <v>92.9</v>
      </c>
      <c r="K17" s="155">
        <f>ROUND(E17*J17,2)</f>
        <v>175.58</v>
      </c>
      <c r="L17" s="155">
        <v>21</v>
      </c>
      <c r="M17" s="155">
        <f>G17*(1+L17/100)</f>
        <v>0</v>
      </c>
      <c r="N17" s="155">
        <v>0</v>
      </c>
      <c r="O17" s="155">
        <f>ROUND(E17*N17,2)</f>
        <v>0</v>
      </c>
      <c r="P17" s="155">
        <v>0</v>
      </c>
      <c r="Q17" s="155">
        <f>ROUND(E17*P17,2)</f>
        <v>0</v>
      </c>
      <c r="R17" s="155"/>
      <c r="S17" s="155"/>
      <c r="T17" s="156">
        <v>0.202</v>
      </c>
      <c r="U17" s="155">
        <f>ROUND(E17*T17,2)</f>
        <v>0.38</v>
      </c>
      <c r="V17" s="157"/>
      <c r="W17" s="157"/>
      <c r="X17" s="157"/>
      <c r="Y17" s="157"/>
      <c r="Z17" s="157"/>
      <c r="AA17" s="157"/>
      <c r="AB17" s="157"/>
      <c r="AC17" s="157"/>
      <c r="AD17" s="157"/>
      <c r="AE17" s="157" t="s">
        <v>356</v>
      </c>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row>
    <row r="18" spans="1:60" ht="12.75" outlineLevel="1">
      <c r="A18" s="150"/>
      <c r="B18" s="151"/>
      <c r="C18" s="158" t="s">
        <v>369</v>
      </c>
      <c r="D18" s="159"/>
      <c r="E18" s="160">
        <v>1.89</v>
      </c>
      <c r="F18" s="155"/>
      <c r="G18" s="155"/>
      <c r="H18" s="155"/>
      <c r="I18" s="155"/>
      <c r="J18" s="155"/>
      <c r="K18" s="155"/>
      <c r="L18" s="155"/>
      <c r="M18" s="155"/>
      <c r="N18" s="155"/>
      <c r="O18" s="155"/>
      <c r="P18" s="155"/>
      <c r="Q18" s="155"/>
      <c r="R18" s="155"/>
      <c r="S18" s="155"/>
      <c r="T18" s="156"/>
      <c r="U18" s="155"/>
      <c r="V18" s="157"/>
      <c r="W18" s="157"/>
      <c r="X18" s="157"/>
      <c r="Y18" s="157"/>
      <c r="Z18" s="157"/>
      <c r="AA18" s="157"/>
      <c r="AB18" s="157"/>
      <c r="AC18" s="157"/>
      <c r="AD18" s="157"/>
      <c r="AE18" s="157" t="s">
        <v>358</v>
      </c>
      <c r="AF18" s="157">
        <v>0</v>
      </c>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row>
    <row r="19" spans="1:60" ht="12.75" outlineLevel="1">
      <c r="A19" s="150">
        <v>7</v>
      </c>
      <c r="B19" s="151" t="s">
        <v>370</v>
      </c>
      <c r="C19" s="152" t="s">
        <v>371</v>
      </c>
      <c r="D19" s="153" t="s">
        <v>111</v>
      </c>
      <c r="E19" s="154">
        <v>2.0077</v>
      </c>
      <c r="F19" s="155"/>
      <c r="G19" s="155">
        <f t="shared" si="0"/>
        <v>0</v>
      </c>
      <c r="H19" s="155">
        <v>455.7</v>
      </c>
      <c r="I19" s="155">
        <f>ROUND(E19*H19,2)</f>
        <v>914.91</v>
      </c>
      <c r="J19" s="155">
        <v>434.3</v>
      </c>
      <c r="K19" s="155">
        <f>ROUND(E19*J19,2)</f>
        <v>871.94</v>
      </c>
      <c r="L19" s="155">
        <v>21</v>
      </c>
      <c r="M19" s="155">
        <f>G19*(1+L19/100)</f>
        <v>0</v>
      </c>
      <c r="N19" s="155">
        <v>1.67</v>
      </c>
      <c r="O19" s="155">
        <f>ROUND(E19*N19,2)</f>
        <v>3.35</v>
      </c>
      <c r="P19" s="155">
        <v>0</v>
      </c>
      <c r="Q19" s="155">
        <f>ROUND(E19*P19,2)</f>
        <v>0</v>
      </c>
      <c r="R19" s="155"/>
      <c r="S19" s="155"/>
      <c r="T19" s="156">
        <v>1.598</v>
      </c>
      <c r="U19" s="155">
        <f>ROUND(E19*T19,2)</f>
        <v>3.21</v>
      </c>
      <c r="V19" s="157"/>
      <c r="W19" s="157"/>
      <c r="X19" s="157"/>
      <c r="Y19" s="157"/>
      <c r="Z19" s="157"/>
      <c r="AA19" s="157"/>
      <c r="AB19" s="157"/>
      <c r="AC19" s="157"/>
      <c r="AD19" s="157"/>
      <c r="AE19" s="157" t="s">
        <v>372</v>
      </c>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row>
    <row r="20" spans="1:60" ht="12.75" outlineLevel="1">
      <c r="A20" s="150"/>
      <c r="B20" s="151"/>
      <c r="C20" s="158" t="s">
        <v>373</v>
      </c>
      <c r="D20" s="159"/>
      <c r="E20" s="160">
        <v>1.9992</v>
      </c>
      <c r="F20" s="155"/>
      <c r="G20" s="155"/>
      <c r="H20" s="155"/>
      <c r="I20" s="155"/>
      <c r="J20" s="155"/>
      <c r="K20" s="155"/>
      <c r="L20" s="155"/>
      <c r="M20" s="155"/>
      <c r="N20" s="155"/>
      <c r="O20" s="155"/>
      <c r="P20" s="155"/>
      <c r="Q20" s="155"/>
      <c r="R20" s="155"/>
      <c r="S20" s="155"/>
      <c r="T20" s="156"/>
      <c r="U20" s="155"/>
      <c r="V20" s="157"/>
      <c r="W20" s="157"/>
      <c r="X20" s="157"/>
      <c r="Y20" s="157"/>
      <c r="Z20" s="157"/>
      <c r="AA20" s="157"/>
      <c r="AB20" s="157"/>
      <c r="AC20" s="157"/>
      <c r="AD20" s="157"/>
      <c r="AE20" s="157" t="s">
        <v>358</v>
      </c>
      <c r="AF20" s="157">
        <v>0</v>
      </c>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row>
    <row r="21" spans="1:60" ht="12.75" outlineLevel="1">
      <c r="A21" s="150"/>
      <c r="B21" s="151"/>
      <c r="C21" s="158" t="s">
        <v>374</v>
      </c>
      <c r="D21" s="159"/>
      <c r="E21" s="160">
        <v>0.0085</v>
      </c>
      <c r="F21" s="155"/>
      <c r="G21" s="155"/>
      <c r="H21" s="155"/>
      <c r="I21" s="155"/>
      <c r="J21" s="155"/>
      <c r="K21" s="155"/>
      <c r="L21" s="155"/>
      <c r="M21" s="155"/>
      <c r="N21" s="155"/>
      <c r="O21" s="155"/>
      <c r="P21" s="155"/>
      <c r="Q21" s="155"/>
      <c r="R21" s="155"/>
      <c r="S21" s="155"/>
      <c r="T21" s="156"/>
      <c r="U21" s="155"/>
      <c r="V21" s="157"/>
      <c r="W21" s="157"/>
      <c r="X21" s="157"/>
      <c r="Y21" s="157"/>
      <c r="Z21" s="157"/>
      <c r="AA21" s="157"/>
      <c r="AB21" s="157"/>
      <c r="AC21" s="157"/>
      <c r="AD21" s="157"/>
      <c r="AE21" s="157" t="s">
        <v>358</v>
      </c>
      <c r="AF21" s="157">
        <v>0</v>
      </c>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row>
    <row r="22" spans="1:31" ht="12.75">
      <c r="A22" s="161" t="s">
        <v>352</v>
      </c>
      <c r="B22" s="162" t="s">
        <v>127</v>
      </c>
      <c r="C22" s="163" t="s">
        <v>375</v>
      </c>
      <c r="D22" s="164"/>
      <c r="E22" s="165"/>
      <c r="F22" s="166"/>
      <c r="G22" s="166">
        <f>SUMIF(AE23:AE24,"&lt;&gt;NOR",G23:G24)</f>
        <v>0</v>
      </c>
      <c r="H22" s="166"/>
      <c r="I22" s="166">
        <f>SUM(I23:I24)</f>
        <v>197.73</v>
      </c>
      <c r="J22" s="166"/>
      <c r="K22" s="166">
        <f>SUM(K23:K24)</f>
        <v>207.27</v>
      </c>
      <c r="L22" s="166"/>
      <c r="M22" s="166">
        <f>SUM(M23:M24)</f>
        <v>0</v>
      </c>
      <c r="N22" s="166"/>
      <c r="O22" s="166">
        <f>SUM(O23:O24)</f>
        <v>0.61</v>
      </c>
      <c r="P22" s="166"/>
      <c r="Q22" s="166">
        <f>SUM(Q23:Q24)</f>
        <v>0</v>
      </c>
      <c r="R22" s="166"/>
      <c r="S22" s="166"/>
      <c r="T22" s="167"/>
      <c r="U22" s="166">
        <f>SUM(U23:U24)</f>
        <v>0.92</v>
      </c>
      <c r="AE22" s="124" t="s">
        <v>353</v>
      </c>
    </row>
    <row r="23" spans="1:60" ht="12.75" outlineLevel="1">
      <c r="A23" s="150">
        <v>8</v>
      </c>
      <c r="B23" s="151" t="s">
        <v>376</v>
      </c>
      <c r="C23" s="152" t="s">
        <v>377</v>
      </c>
      <c r="D23" s="153" t="s">
        <v>111</v>
      </c>
      <c r="E23" s="154">
        <v>0.54</v>
      </c>
      <c r="F23" s="155"/>
      <c r="G23" s="155">
        <f>E23*F23</f>
        <v>0</v>
      </c>
      <c r="H23" s="155">
        <v>366.16</v>
      </c>
      <c r="I23" s="155">
        <f>ROUND(E23*H23,2)</f>
        <v>197.73</v>
      </c>
      <c r="J23" s="155">
        <v>383.84</v>
      </c>
      <c r="K23" s="155">
        <f>ROUND(E23*J23,2)</f>
        <v>207.27</v>
      </c>
      <c r="L23" s="155">
        <v>21</v>
      </c>
      <c r="M23" s="155">
        <f>G23*(1+L23/100)</f>
        <v>0</v>
      </c>
      <c r="N23" s="155">
        <v>1.1322</v>
      </c>
      <c r="O23" s="155">
        <f>ROUND(E23*N23,2)</f>
        <v>0.61</v>
      </c>
      <c r="P23" s="155">
        <v>0</v>
      </c>
      <c r="Q23" s="155">
        <f>ROUND(E23*P23,2)</f>
        <v>0</v>
      </c>
      <c r="R23" s="155"/>
      <c r="S23" s="155"/>
      <c r="T23" s="156">
        <v>1.7</v>
      </c>
      <c r="U23" s="155">
        <f>ROUND(E23*T23,2)</f>
        <v>0.92</v>
      </c>
      <c r="V23" s="157"/>
      <c r="W23" s="157"/>
      <c r="X23" s="157"/>
      <c r="Y23" s="157"/>
      <c r="Z23" s="157"/>
      <c r="AA23" s="157"/>
      <c r="AB23" s="157"/>
      <c r="AC23" s="157"/>
      <c r="AD23" s="157"/>
      <c r="AE23" s="157" t="s">
        <v>356</v>
      </c>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row>
    <row r="24" spans="1:60" ht="12.75" outlineLevel="1">
      <c r="A24" s="150"/>
      <c r="B24" s="151"/>
      <c r="C24" s="158" t="s">
        <v>378</v>
      </c>
      <c r="D24" s="159"/>
      <c r="E24" s="160">
        <v>0.54</v>
      </c>
      <c r="F24" s="155"/>
      <c r="G24" s="155"/>
      <c r="H24" s="155"/>
      <c r="I24" s="155"/>
      <c r="J24" s="155"/>
      <c r="K24" s="155"/>
      <c r="L24" s="155"/>
      <c r="M24" s="155"/>
      <c r="N24" s="155"/>
      <c r="O24" s="155"/>
      <c r="P24" s="155"/>
      <c r="Q24" s="155"/>
      <c r="R24" s="155"/>
      <c r="S24" s="155"/>
      <c r="T24" s="156"/>
      <c r="U24" s="155"/>
      <c r="V24" s="157"/>
      <c r="W24" s="157"/>
      <c r="X24" s="157"/>
      <c r="Y24" s="157"/>
      <c r="Z24" s="157"/>
      <c r="AA24" s="157"/>
      <c r="AB24" s="157"/>
      <c r="AC24" s="157"/>
      <c r="AD24" s="157"/>
      <c r="AE24" s="157" t="s">
        <v>358</v>
      </c>
      <c r="AF24" s="157">
        <v>0</v>
      </c>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row>
    <row r="25" spans="1:31" ht="12.75">
      <c r="A25" s="161" t="s">
        <v>352</v>
      </c>
      <c r="B25" s="162" t="s">
        <v>132</v>
      </c>
      <c r="C25" s="163" t="s">
        <v>379</v>
      </c>
      <c r="D25" s="164"/>
      <c r="E25" s="165"/>
      <c r="F25" s="166"/>
      <c r="G25" s="166">
        <f>SUMIF(AE26:AE30,"&lt;&gt;NOR",G26:G30)</f>
        <v>0</v>
      </c>
      <c r="H25" s="166"/>
      <c r="I25" s="166">
        <f>SUM(I26:I30)</f>
        <v>13385.999999999998</v>
      </c>
      <c r="J25" s="166"/>
      <c r="K25" s="166">
        <f>SUM(K26:K30)</f>
        <v>1681</v>
      </c>
      <c r="L25" s="166"/>
      <c r="M25" s="166">
        <f>SUM(M26:M30)</f>
        <v>0</v>
      </c>
      <c r="N25" s="166"/>
      <c r="O25" s="166">
        <f>SUM(O26:O30)</f>
        <v>0.51</v>
      </c>
      <c r="P25" s="166"/>
      <c r="Q25" s="166">
        <f>SUM(Q26:Q30)</f>
        <v>0</v>
      </c>
      <c r="R25" s="166"/>
      <c r="S25" s="166"/>
      <c r="T25" s="167"/>
      <c r="U25" s="166">
        <f>SUM(U26:U30)</f>
        <v>4.32</v>
      </c>
      <c r="AE25" s="124" t="s">
        <v>353</v>
      </c>
    </row>
    <row r="26" spans="1:60" ht="21.75" outlineLevel="1">
      <c r="A26" s="150">
        <v>9</v>
      </c>
      <c r="B26" s="151" t="s">
        <v>380</v>
      </c>
      <c r="C26" s="152" t="s">
        <v>381</v>
      </c>
      <c r="D26" s="153" t="s">
        <v>139</v>
      </c>
      <c r="E26" s="154">
        <v>2</v>
      </c>
      <c r="F26" s="155"/>
      <c r="G26" s="155">
        <f>E26*F26</f>
        <v>0</v>
      </c>
      <c r="H26" s="155">
        <v>104.19</v>
      </c>
      <c r="I26" s="155">
        <f>ROUND(E26*H26,2)</f>
        <v>208.38</v>
      </c>
      <c r="J26" s="155">
        <v>160.31</v>
      </c>
      <c r="K26" s="155">
        <f>ROUND(E26*J26,2)</f>
        <v>320.62</v>
      </c>
      <c r="L26" s="155">
        <v>21</v>
      </c>
      <c r="M26" s="155">
        <f>G26*(1+L26/100)</f>
        <v>0</v>
      </c>
      <c r="N26" s="155">
        <v>0.1126</v>
      </c>
      <c r="O26" s="155">
        <f>ROUND(E26*N26,2)</f>
        <v>0.23</v>
      </c>
      <c r="P26" s="155">
        <v>0</v>
      </c>
      <c r="Q26" s="155">
        <f>ROUND(E26*P26,2)</f>
        <v>0</v>
      </c>
      <c r="R26" s="155"/>
      <c r="S26" s="155"/>
      <c r="T26" s="156">
        <v>0.5525</v>
      </c>
      <c r="U26" s="155">
        <f>ROUND(E26*T26,2)</f>
        <v>1.11</v>
      </c>
      <c r="V26" s="157"/>
      <c r="W26" s="157"/>
      <c r="X26" s="157"/>
      <c r="Y26" s="157"/>
      <c r="Z26" s="157"/>
      <c r="AA26" s="157"/>
      <c r="AB26" s="157"/>
      <c r="AC26" s="157"/>
      <c r="AD26" s="157"/>
      <c r="AE26" s="157" t="s">
        <v>356</v>
      </c>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row>
    <row r="27" spans="1:60" ht="21.75" outlineLevel="1">
      <c r="A27" s="150">
        <v>10</v>
      </c>
      <c r="B27" s="151" t="s">
        <v>382</v>
      </c>
      <c r="C27" s="152" t="s">
        <v>383</v>
      </c>
      <c r="D27" s="153" t="s">
        <v>257</v>
      </c>
      <c r="E27" s="154">
        <v>2</v>
      </c>
      <c r="F27" s="155"/>
      <c r="G27" s="155">
        <f>E27*F27</f>
        <v>0</v>
      </c>
      <c r="H27" s="155">
        <v>1994.07</v>
      </c>
      <c r="I27" s="155">
        <f>ROUND(E27*H27,2)</f>
        <v>3988.14</v>
      </c>
      <c r="J27" s="155">
        <v>70.93000000000006</v>
      </c>
      <c r="K27" s="155">
        <f>ROUND(E27*J27,2)</f>
        <v>141.86</v>
      </c>
      <c r="L27" s="155">
        <v>21</v>
      </c>
      <c r="M27" s="155">
        <f>G27*(1+L27/100)</f>
        <v>0</v>
      </c>
      <c r="N27" s="155">
        <v>0.08158</v>
      </c>
      <c r="O27" s="155">
        <f>ROUND(E27*N27,2)</f>
        <v>0.16</v>
      </c>
      <c r="P27" s="155">
        <v>0</v>
      </c>
      <c r="Q27" s="155">
        <f>ROUND(E27*P27,2)</f>
        <v>0</v>
      </c>
      <c r="R27" s="155"/>
      <c r="S27" s="155"/>
      <c r="T27" s="156">
        <v>0.24782</v>
      </c>
      <c r="U27" s="155">
        <f>ROUND(E27*T27,2)</f>
        <v>0.5</v>
      </c>
      <c r="V27" s="157"/>
      <c r="W27" s="157"/>
      <c r="X27" s="157"/>
      <c r="Y27" s="157"/>
      <c r="Z27" s="157"/>
      <c r="AA27" s="157"/>
      <c r="AB27" s="157"/>
      <c r="AC27" s="157"/>
      <c r="AD27" s="157"/>
      <c r="AE27" s="157" t="s">
        <v>356</v>
      </c>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row>
    <row r="28" spans="1:60" ht="12.75" outlineLevel="1">
      <c r="A28" s="150">
        <v>11</v>
      </c>
      <c r="B28" s="151" t="s">
        <v>384</v>
      </c>
      <c r="C28" s="152" t="s">
        <v>385</v>
      </c>
      <c r="D28" s="153" t="s">
        <v>257</v>
      </c>
      <c r="E28" s="154">
        <v>4</v>
      </c>
      <c r="F28" s="155"/>
      <c r="G28" s="155">
        <f>E28*F28</f>
        <v>0</v>
      </c>
      <c r="H28" s="155">
        <v>426.85</v>
      </c>
      <c r="I28" s="155">
        <f>ROUND(E28*H28,2)</f>
        <v>1707.4</v>
      </c>
      <c r="J28" s="155">
        <v>6.149999999999977</v>
      </c>
      <c r="K28" s="155">
        <f>ROUND(E28*J28,2)</f>
        <v>24.6</v>
      </c>
      <c r="L28" s="155">
        <v>21</v>
      </c>
      <c r="M28" s="155">
        <f>G28*(1+L28/100)</f>
        <v>0</v>
      </c>
      <c r="N28" s="155">
        <v>0.00315</v>
      </c>
      <c r="O28" s="155">
        <f>ROUND(E28*N28,2)</f>
        <v>0.01</v>
      </c>
      <c r="P28" s="155">
        <v>0</v>
      </c>
      <c r="Q28" s="155">
        <f>ROUND(E28*P28,2)</f>
        <v>0</v>
      </c>
      <c r="R28" s="155"/>
      <c r="S28" s="155"/>
      <c r="T28" s="156">
        <v>0.02</v>
      </c>
      <c r="U28" s="155">
        <f>ROUND(E28*T28,2)</f>
        <v>0.08</v>
      </c>
      <c r="V28" s="157"/>
      <c r="W28" s="157"/>
      <c r="X28" s="157"/>
      <c r="Y28" s="157"/>
      <c r="Z28" s="157"/>
      <c r="AA28" s="157"/>
      <c r="AB28" s="157"/>
      <c r="AC28" s="157"/>
      <c r="AD28" s="157"/>
      <c r="AE28" s="157" t="s">
        <v>356</v>
      </c>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row>
    <row r="29" spans="1:60" ht="12.75" outlineLevel="1">
      <c r="A29" s="150">
        <v>12</v>
      </c>
      <c r="B29" s="151" t="s">
        <v>386</v>
      </c>
      <c r="C29" s="152" t="s">
        <v>387</v>
      </c>
      <c r="D29" s="153" t="s">
        <v>257</v>
      </c>
      <c r="E29" s="154">
        <v>2</v>
      </c>
      <c r="F29" s="155"/>
      <c r="G29" s="155">
        <f>E29*F29</f>
        <v>0</v>
      </c>
      <c r="H29" s="155">
        <v>11.04</v>
      </c>
      <c r="I29" s="155">
        <f>ROUND(E29*H29,2)</f>
        <v>22.08</v>
      </c>
      <c r="J29" s="155">
        <v>596.96</v>
      </c>
      <c r="K29" s="155">
        <f>ROUND(E29*J29,2)</f>
        <v>1193.92</v>
      </c>
      <c r="L29" s="155">
        <v>21</v>
      </c>
      <c r="M29" s="155">
        <f>G29*(1+L29/100)</f>
        <v>0</v>
      </c>
      <c r="N29" s="155">
        <v>0.00936</v>
      </c>
      <c r="O29" s="155">
        <f>ROUND(E29*N29,2)</f>
        <v>0.02</v>
      </c>
      <c r="P29" s="155">
        <v>0</v>
      </c>
      <c r="Q29" s="155">
        <f>ROUND(E29*P29,2)</f>
        <v>0</v>
      </c>
      <c r="R29" s="155"/>
      <c r="S29" s="155"/>
      <c r="T29" s="156">
        <v>1.314</v>
      </c>
      <c r="U29" s="155">
        <f>ROUND(E29*T29,2)</f>
        <v>2.63</v>
      </c>
      <c r="V29" s="157"/>
      <c r="W29" s="157"/>
      <c r="X29" s="157"/>
      <c r="Y29" s="157"/>
      <c r="Z29" s="157"/>
      <c r="AA29" s="157"/>
      <c r="AB29" s="157"/>
      <c r="AC29" s="157"/>
      <c r="AD29" s="157"/>
      <c r="AE29" s="157" t="s">
        <v>356</v>
      </c>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row>
    <row r="30" spans="1:60" ht="12.75" outlineLevel="1">
      <c r="A30" s="150">
        <v>13</v>
      </c>
      <c r="B30" s="151" t="s">
        <v>388</v>
      </c>
      <c r="C30" s="152" t="s">
        <v>389</v>
      </c>
      <c r="D30" s="153" t="s">
        <v>257</v>
      </c>
      <c r="E30" s="154">
        <v>2</v>
      </c>
      <c r="F30" s="155"/>
      <c r="G30" s="155">
        <f>E30*F30</f>
        <v>0</v>
      </c>
      <c r="H30" s="155">
        <v>3730</v>
      </c>
      <c r="I30" s="155">
        <f>ROUND(E30*H30,2)</f>
        <v>7460</v>
      </c>
      <c r="J30" s="155">
        <v>0</v>
      </c>
      <c r="K30" s="155">
        <f>ROUND(E30*J30,2)</f>
        <v>0</v>
      </c>
      <c r="L30" s="155">
        <v>21</v>
      </c>
      <c r="M30" s="155">
        <f>G30*(1+L30/100)</f>
        <v>0</v>
      </c>
      <c r="N30" s="155">
        <v>0.044</v>
      </c>
      <c r="O30" s="155">
        <f>ROUND(E30*N30,2)</f>
        <v>0.09</v>
      </c>
      <c r="P30" s="155">
        <v>0</v>
      </c>
      <c r="Q30" s="155">
        <f>ROUND(E30*P30,2)</f>
        <v>0</v>
      </c>
      <c r="R30" s="155"/>
      <c r="S30" s="155"/>
      <c r="T30" s="156">
        <v>0</v>
      </c>
      <c r="U30" s="155">
        <f>ROUND(E30*T30,2)</f>
        <v>0</v>
      </c>
      <c r="V30" s="157"/>
      <c r="W30" s="157"/>
      <c r="X30" s="157"/>
      <c r="Y30" s="157"/>
      <c r="Z30" s="157"/>
      <c r="AA30" s="157"/>
      <c r="AB30" s="157"/>
      <c r="AC30" s="157"/>
      <c r="AD30" s="157"/>
      <c r="AE30" s="157" t="s">
        <v>390</v>
      </c>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row>
    <row r="31" spans="1:31" ht="12.75">
      <c r="A31" s="161" t="s">
        <v>352</v>
      </c>
      <c r="B31" s="162" t="s">
        <v>144</v>
      </c>
      <c r="C31" s="163" t="s">
        <v>391</v>
      </c>
      <c r="D31" s="164"/>
      <c r="E31" s="165"/>
      <c r="F31" s="166"/>
      <c r="G31" s="166">
        <f>SUMIF(AE32:AE50,"&lt;&gt;NOR",G32:G50)</f>
        <v>0</v>
      </c>
      <c r="H31" s="166"/>
      <c r="I31" s="166">
        <f>SUM(I32:I50)</f>
        <v>7982.269999999999</v>
      </c>
      <c r="J31" s="166"/>
      <c r="K31" s="166">
        <f>SUM(K32:K50)</f>
        <v>5251.53</v>
      </c>
      <c r="L31" s="166"/>
      <c r="M31" s="166">
        <f>SUM(M32:M50)</f>
        <v>0</v>
      </c>
      <c r="N31" s="166"/>
      <c r="O31" s="166">
        <f>SUM(O32:O50)</f>
        <v>1.37</v>
      </c>
      <c r="P31" s="166"/>
      <c r="Q31" s="166">
        <f>SUM(Q32:Q50)</f>
        <v>0</v>
      </c>
      <c r="R31" s="166"/>
      <c r="S31" s="166"/>
      <c r="T31" s="167"/>
      <c r="U31" s="166">
        <f>SUM(U32:U50)</f>
        <v>19.599999999999998</v>
      </c>
      <c r="AE31" s="124" t="s">
        <v>353</v>
      </c>
    </row>
    <row r="32" spans="1:60" ht="12.75" outlineLevel="1">
      <c r="A32" s="150">
        <v>14</v>
      </c>
      <c r="B32" s="151" t="s">
        <v>392</v>
      </c>
      <c r="C32" s="152" t="s">
        <v>393</v>
      </c>
      <c r="D32" s="153" t="s">
        <v>139</v>
      </c>
      <c r="E32" s="154">
        <v>8</v>
      </c>
      <c r="F32" s="155"/>
      <c r="G32" s="155">
        <f aca="true" t="shared" si="1" ref="G32:G50">E32*F32</f>
        <v>0</v>
      </c>
      <c r="H32" s="155">
        <v>0.1</v>
      </c>
      <c r="I32" s="155">
        <f>ROUND(E32*H32,2)</f>
        <v>0.8</v>
      </c>
      <c r="J32" s="155">
        <v>19.299999999999997</v>
      </c>
      <c r="K32" s="155">
        <f>ROUND(E32*J32,2)</f>
        <v>154.4</v>
      </c>
      <c r="L32" s="155">
        <v>21</v>
      </c>
      <c r="M32" s="155">
        <f>G32*(1+L32/100)</f>
        <v>0</v>
      </c>
      <c r="N32" s="155">
        <v>0</v>
      </c>
      <c r="O32" s="155">
        <f>ROUND(E32*N32,2)</f>
        <v>0</v>
      </c>
      <c r="P32" s="155">
        <v>0</v>
      </c>
      <c r="Q32" s="155">
        <f>ROUND(E32*P32,2)</f>
        <v>0</v>
      </c>
      <c r="R32" s="155"/>
      <c r="S32" s="155"/>
      <c r="T32" s="156">
        <v>0.07</v>
      </c>
      <c r="U32" s="155">
        <f>ROUND(E32*T32,2)</f>
        <v>0.56</v>
      </c>
      <c r="V32" s="157"/>
      <c r="W32" s="157"/>
      <c r="X32" s="157"/>
      <c r="Y32" s="157"/>
      <c r="Z32" s="157"/>
      <c r="AA32" s="157"/>
      <c r="AB32" s="157"/>
      <c r="AC32" s="157"/>
      <c r="AD32" s="157"/>
      <c r="AE32" s="157" t="s">
        <v>356</v>
      </c>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row>
    <row r="33" spans="1:60" ht="12.75" outlineLevel="1">
      <c r="A33" s="150">
        <v>15</v>
      </c>
      <c r="B33" s="151" t="s">
        <v>394</v>
      </c>
      <c r="C33" s="152" t="s">
        <v>395</v>
      </c>
      <c r="D33" s="153" t="s">
        <v>139</v>
      </c>
      <c r="E33" s="154">
        <v>1</v>
      </c>
      <c r="F33" s="155"/>
      <c r="G33" s="155">
        <f t="shared" si="1"/>
        <v>0</v>
      </c>
      <c r="H33" s="155">
        <v>0.15</v>
      </c>
      <c r="I33" s="155">
        <f>ROUND(E33*H33,2)</f>
        <v>0.15</v>
      </c>
      <c r="J33" s="155">
        <v>23.450000000000003</v>
      </c>
      <c r="K33" s="155">
        <f>ROUND(E33*J33,2)</f>
        <v>23.45</v>
      </c>
      <c r="L33" s="155">
        <v>21</v>
      </c>
      <c r="M33" s="155">
        <f>G33*(1+L33/100)</f>
        <v>0</v>
      </c>
      <c r="N33" s="155">
        <v>1E-05</v>
      </c>
      <c r="O33" s="155">
        <f>ROUND(E33*N33,2)</f>
        <v>0</v>
      </c>
      <c r="P33" s="155">
        <v>0</v>
      </c>
      <c r="Q33" s="155">
        <f>ROUND(E33*P33,2)</f>
        <v>0</v>
      </c>
      <c r="R33" s="155"/>
      <c r="S33" s="155"/>
      <c r="T33" s="156">
        <v>0.08</v>
      </c>
      <c r="U33" s="155">
        <f>ROUND(E33*T33,2)</f>
        <v>0.08</v>
      </c>
      <c r="V33" s="157"/>
      <c r="W33" s="157"/>
      <c r="X33" s="157"/>
      <c r="Y33" s="157"/>
      <c r="Z33" s="157"/>
      <c r="AA33" s="157"/>
      <c r="AB33" s="157"/>
      <c r="AC33" s="157"/>
      <c r="AD33" s="157"/>
      <c r="AE33" s="157" t="s">
        <v>356</v>
      </c>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row>
    <row r="34" spans="1:60" ht="12.75" outlineLevel="1">
      <c r="A34" s="150">
        <v>16</v>
      </c>
      <c r="B34" s="151" t="s">
        <v>396</v>
      </c>
      <c r="C34" s="152" t="s">
        <v>397</v>
      </c>
      <c r="D34" s="153" t="s">
        <v>257</v>
      </c>
      <c r="E34" s="154">
        <v>4.08</v>
      </c>
      <c r="F34" s="155"/>
      <c r="G34" s="155">
        <f t="shared" si="1"/>
        <v>0</v>
      </c>
      <c r="H34" s="155">
        <v>312.5</v>
      </c>
      <c r="I34" s="155">
        <f>ROUND(E34*H34,2)</f>
        <v>1275</v>
      </c>
      <c r="J34" s="155">
        <v>0</v>
      </c>
      <c r="K34" s="155">
        <f>ROUND(E34*J34,2)</f>
        <v>0</v>
      </c>
      <c r="L34" s="155">
        <v>21</v>
      </c>
      <c r="M34" s="155">
        <f>G34*(1+L34/100)</f>
        <v>0</v>
      </c>
      <c r="N34" s="155">
        <v>0.0052</v>
      </c>
      <c r="O34" s="155">
        <f>ROUND(E34*N34,2)</f>
        <v>0.02</v>
      </c>
      <c r="P34" s="155">
        <v>0</v>
      </c>
      <c r="Q34" s="155">
        <f>ROUND(E34*P34,2)</f>
        <v>0</v>
      </c>
      <c r="R34" s="155"/>
      <c r="S34" s="155"/>
      <c r="T34" s="156">
        <v>0</v>
      </c>
      <c r="U34" s="155">
        <f>ROUND(E34*T34,2)</f>
        <v>0</v>
      </c>
      <c r="V34" s="157"/>
      <c r="W34" s="157"/>
      <c r="X34" s="157"/>
      <c r="Y34" s="157"/>
      <c r="Z34" s="157"/>
      <c r="AA34" s="157"/>
      <c r="AB34" s="157"/>
      <c r="AC34" s="157"/>
      <c r="AD34" s="157"/>
      <c r="AE34" s="157" t="s">
        <v>390</v>
      </c>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row>
    <row r="35" spans="1:60" ht="12.75" outlineLevel="1">
      <c r="A35" s="150"/>
      <c r="B35" s="151"/>
      <c r="C35" s="158" t="s">
        <v>398</v>
      </c>
      <c r="D35" s="159"/>
      <c r="E35" s="160">
        <v>4.08</v>
      </c>
      <c r="F35" s="155"/>
      <c r="G35" s="155"/>
      <c r="H35" s="155"/>
      <c r="I35" s="155"/>
      <c r="J35" s="155"/>
      <c r="K35" s="155"/>
      <c r="L35" s="155"/>
      <c r="M35" s="155"/>
      <c r="N35" s="155"/>
      <c r="O35" s="155"/>
      <c r="P35" s="155"/>
      <c r="Q35" s="155"/>
      <c r="R35" s="155"/>
      <c r="S35" s="155"/>
      <c r="T35" s="156"/>
      <c r="U35" s="155"/>
      <c r="V35" s="157"/>
      <c r="W35" s="157"/>
      <c r="X35" s="157"/>
      <c r="Y35" s="157"/>
      <c r="Z35" s="157"/>
      <c r="AA35" s="157"/>
      <c r="AB35" s="157"/>
      <c r="AC35" s="157"/>
      <c r="AD35" s="157"/>
      <c r="AE35" s="157" t="s">
        <v>358</v>
      </c>
      <c r="AF35" s="157">
        <v>0</v>
      </c>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row>
    <row r="36" spans="1:60" ht="12.75" outlineLevel="1">
      <c r="A36" s="150">
        <v>17</v>
      </c>
      <c r="B36" s="151" t="s">
        <v>399</v>
      </c>
      <c r="C36" s="152" t="s">
        <v>400</v>
      </c>
      <c r="D36" s="153" t="s">
        <v>257</v>
      </c>
      <c r="E36" s="154">
        <v>1</v>
      </c>
      <c r="F36" s="155"/>
      <c r="G36" s="155">
        <f t="shared" si="1"/>
        <v>0</v>
      </c>
      <c r="H36" s="155">
        <v>521</v>
      </c>
      <c r="I36" s="155">
        <f aca="true" t="shared" si="2" ref="I36:I45">ROUND(E36*H36,2)</f>
        <v>521</v>
      </c>
      <c r="J36" s="155">
        <v>0</v>
      </c>
      <c r="K36" s="155">
        <f aca="true" t="shared" si="3" ref="K36:K45">ROUND(E36*J36,2)</f>
        <v>0</v>
      </c>
      <c r="L36" s="155">
        <v>21</v>
      </c>
      <c r="M36" s="155">
        <f aca="true" t="shared" si="4" ref="M36:M45">G36*(1+L36/100)</f>
        <v>0</v>
      </c>
      <c r="N36" s="155">
        <v>0.00504</v>
      </c>
      <c r="O36" s="155">
        <f aca="true" t="shared" si="5" ref="O36:O45">ROUND(E36*N36,2)</f>
        <v>0.01</v>
      </c>
      <c r="P36" s="155">
        <v>0</v>
      </c>
      <c r="Q36" s="155">
        <f aca="true" t="shared" si="6" ref="Q36:Q45">ROUND(E36*P36,2)</f>
        <v>0</v>
      </c>
      <c r="R36" s="155"/>
      <c r="S36" s="155"/>
      <c r="T36" s="156">
        <v>0</v>
      </c>
      <c r="U36" s="155">
        <f aca="true" t="shared" si="7" ref="U36:U45">ROUND(E36*T36,2)</f>
        <v>0</v>
      </c>
      <c r="V36" s="157"/>
      <c r="W36" s="157"/>
      <c r="X36" s="157"/>
      <c r="Y36" s="157"/>
      <c r="Z36" s="157"/>
      <c r="AA36" s="157"/>
      <c r="AB36" s="157"/>
      <c r="AC36" s="157"/>
      <c r="AD36" s="157"/>
      <c r="AE36" s="157" t="s">
        <v>390</v>
      </c>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row>
    <row r="37" spans="1:60" ht="12.75" outlineLevel="1">
      <c r="A37" s="150">
        <v>18</v>
      </c>
      <c r="B37" s="151" t="s">
        <v>401</v>
      </c>
      <c r="C37" s="152" t="s">
        <v>402</v>
      </c>
      <c r="D37" s="153" t="s">
        <v>257</v>
      </c>
      <c r="E37" s="154">
        <v>8</v>
      </c>
      <c r="F37" s="155"/>
      <c r="G37" s="155">
        <f t="shared" si="1"/>
        <v>0</v>
      </c>
      <c r="H37" s="155">
        <v>0.33</v>
      </c>
      <c r="I37" s="155">
        <f t="shared" si="2"/>
        <v>2.64</v>
      </c>
      <c r="J37" s="155">
        <v>51.77</v>
      </c>
      <c r="K37" s="155">
        <f t="shared" si="3"/>
        <v>414.16</v>
      </c>
      <c r="L37" s="155">
        <v>21</v>
      </c>
      <c r="M37" s="155">
        <f t="shared" si="4"/>
        <v>0</v>
      </c>
      <c r="N37" s="155">
        <v>1E-05</v>
      </c>
      <c r="O37" s="155">
        <f t="shared" si="5"/>
        <v>0</v>
      </c>
      <c r="P37" s="155">
        <v>0</v>
      </c>
      <c r="Q37" s="155">
        <f t="shared" si="6"/>
        <v>0</v>
      </c>
      <c r="R37" s="155"/>
      <c r="S37" s="155"/>
      <c r="T37" s="156">
        <v>0.176</v>
      </c>
      <c r="U37" s="155">
        <f t="shared" si="7"/>
        <v>1.41</v>
      </c>
      <c r="V37" s="157"/>
      <c r="W37" s="157"/>
      <c r="X37" s="157"/>
      <c r="Y37" s="157"/>
      <c r="Z37" s="157"/>
      <c r="AA37" s="157"/>
      <c r="AB37" s="157"/>
      <c r="AC37" s="157"/>
      <c r="AD37" s="157"/>
      <c r="AE37" s="157" t="s">
        <v>356</v>
      </c>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row>
    <row r="38" spans="1:60" ht="12.75" outlineLevel="1">
      <c r="A38" s="150">
        <v>19</v>
      </c>
      <c r="B38" s="151" t="s">
        <v>403</v>
      </c>
      <c r="C38" s="152" t="s">
        <v>404</v>
      </c>
      <c r="D38" s="153" t="s">
        <v>257</v>
      </c>
      <c r="E38" s="154">
        <v>8</v>
      </c>
      <c r="F38" s="155"/>
      <c r="G38" s="155">
        <f t="shared" si="1"/>
        <v>0</v>
      </c>
      <c r="H38" s="155">
        <v>105.5</v>
      </c>
      <c r="I38" s="155">
        <f t="shared" si="2"/>
        <v>844</v>
      </c>
      <c r="J38" s="155">
        <v>0</v>
      </c>
      <c r="K38" s="155">
        <f t="shared" si="3"/>
        <v>0</v>
      </c>
      <c r="L38" s="155">
        <v>21</v>
      </c>
      <c r="M38" s="155">
        <f t="shared" si="4"/>
        <v>0</v>
      </c>
      <c r="N38" s="155">
        <v>0.00066</v>
      </c>
      <c r="O38" s="155">
        <f t="shared" si="5"/>
        <v>0.01</v>
      </c>
      <c r="P38" s="155">
        <v>0</v>
      </c>
      <c r="Q38" s="155">
        <f t="shared" si="6"/>
        <v>0</v>
      </c>
      <c r="R38" s="155"/>
      <c r="S38" s="155"/>
      <c r="T38" s="156">
        <v>0</v>
      </c>
      <c r="U38" s="155">
        <f t="shared" si="7"/>
        <v>0</v>
      </c>
      <c r="V38" s="157"/>
      <c r="W38" s="157"/>
      <c r="X38" s="157"/>
      <c r="Y38" s="157"/>
      <c r="Z38" s="157"/>
      <c r="AA38" s="157"/>
      <c r="AB38" s="157"/>
      <c r="AC38" s="157"/>
      <c r="AD38" s="157"/>
      <c r="AE38" s="157" t="s">
        <v>390</v>
      </c>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row>
    <row r="39" spans="1:60" ht="12.75" outlineLevel="1">
      <c r="A39" s="150">
        <v>20</v>
      </c>
      <c r="B39" s="151" t="s">
        <v>405</v>
      </c>
      <c r="C39" s="152" t="s">
        <v>406</v>
      </c>
      <c r="D39" s="153" t="s">
        <v>257</v>
      </c>
      <c r="E39" s="154">
        <v>2</v>
      </c>
      <c r="F39" s="155"/>
      <c r="G39" s="155">
        <f t="shared" si="1"/>
        <v>0</v>
      </c>
      <c r="H39" s="155">
        <v>0.8</v>
      </c>
      <c r="I39" s="155">
        <f t="shared" si="2"/>
        <v>1.6</v>
      </c>
      <c r="J39" s="155">
        <v>97.2</v>
      </c>
      <c r="K39" s="155">
        <f t="shared" si="3"/>
        <v>194.4</v>
      </c>
      <c r="L39" s="155">
        <v>21</v>
      </c>
      <c r="M39" s="155">
        <f t="shared" si="4"/>
        <v>0</v>
      </c>
      <c r="N39" s="155">
        <v>3E-05</v>
      </c>
      <c r="O39" s="155">
        <f t="shared" si="5"/>
        <v>0</v>
      </c>
      <c r="P39" s="155">
        <v>0</v>
      </c>
      <c r="Q39" s="155">
        <f t="shared" si="6"/>
        <v>0</v>
      </c>
      <c r="R39" s="155"/>
      <c r="S39" s="155"/>
      <c r="T39" s="156">
        <v>0.33</v>
      </c>
      <c r="U39" s="155">
        <f t="shared" si="7"/>
        <v>0.66</v>
      </c>
      <c r="V39" s="157"/>
      <c r="W39" s="157"/>
      <c r="X39" s="157"/>
      <c r="Y39" s="157"/>
      <c r="Z39" s="157"/>
      <c r="AA39" s="157"/>
      <c r="AB39" s="157"/>
      <c r="AC39" s="157"/>
      <c r="AD39" s="157"/>
      <c r="AE39" s="157" t="s">
        <v>356</v>
      </c>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row>
    <row r="40" spans="1:60" ht="12.75" outlineLevel="1">
      <c r="A40" s="150">
        <v>21</v>
      </c>
      <c r="B40" s="151" t="s">
        <v>407</v>
      </c>
      <c r="C40" s="152" t="s">
        <v>408</v>
      </c>
      <c r="D40" s="153" t="s">
        <v>257</v>
      </c>
      <c r="E40" s="154">
        <v>1</v>
      </c>
      <c r="F40" s="155"/>
      <c r="G40" s="155">
        <f t="shared" si="1"/>
        <v>0</v>
      </c>
      <c r="H40" s="155">
        <v>233.5</v>
      </c>
      <c r="I40" s="155">
        <f t="shared" si="2"/>
        <v>233.5</v>
      </c>
      <c r="J40" s="155">
        <v>0</v>
      </c>
      <c r="K40" s="155">
        <f t="shared" si="3"/>
        <v>0</v>
      </c>
      <c r="L40" s="155">
        <v>21</v>
      </c>
      <c r="M40" s="155">
        <f t="shared" si="4"/>
        <v>0</v>
      </c>
      <c r="N40" s="155">
        <v>0.0016</v>
      </c>
      <c r="O40" s="155">
        <f t="shared" si="5"/>
        <v>0</v>
      </c>
      <c r="P40" s="155">
        <v>0</v>
      </c>
      <c r="Q40" s="155">
        <f t="shared" si="6"/>
        <v>0</v>
      </c>
      <c r="R40" s="155"/>
      <c r="S40" s="155"/>
      <c r="T40" s="156">
        <v>0</v>
      </c>
      <c r="U40" s="155">
        <f t="shared" si="7"/>
        <v>0</v>
      </c>
      <c r="V40" s="157"/>
      <c r="W40" s="157"/>
      <c r="X40" s="157"/>
      <c r="Y40" s="157"/>
      <c r="Z40" s="157"/>
      <c r="AA40" s="157"/>
      <c r="AB40" s="157"/>
      <c r="AC40" s="157"/>
      <c r="AD40" s="157"/>
      <c r="AE40" s="157" t="s">
        <v>390</v>
      </c>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row>
    <row r="41" spans="1:60" ht="12.75" outlineLevel="1">
      <c r="A41" s="150">
        <v>22</v>
      </c>
      <c r="B41" s="151" t="s">
        <v>409</v>
      </c>
      <c r="C41" s="152" t="s">
        <v>410</v>
      </c>
      <c r="D41" s="153" t="s">
        <v>257</v>
      </c>
      <c r="E41" s="154">
        <v>1</v>
      </c>
      <c r="F41" s="155"/>
      <c r="G41" s="155">
        <f t="shared" si="1"/>
        <v>0</v>
      </c>
      <c r="H41" s="155">
        <v>387</v>
      </c>
      <c r="I41" s="155">
        <f t="shared" si="2"/>
        <v>387</v>
      </c>
      <c r="J41" s="155">
        <v>0</v>
      </c>
      <c r="K41" s="155">
        <f t="shared" si="3"/>
        <v>0</v>
      </c>
      <c r="L41" s="155">
        <v>21</v>
      </c>
      <c r="M41" s="155">
        <f t="shared" si="4"/>
        <v>0</v>
      </c>
      <c r="N41" s="155">
        <v>0.00207</v>
      </c>
      <c r="O41" s="155">
        <f t="shared" si="5"/>
        <v>0</v>
      </c>
      <c r="P41" s="155">
        <v>0</v>
      </c>
      <c r="Q41" s="155">
        <f t="shared" si="6"/>
        <v>0</v>
      </c>
      <c r="R41" s="155"/>
      <c r="S41" s="155"/>
      <c r="T41" s="156">
        <v>0</v>
      </c>
      <c r="U41" s="155">
        <f t="shared" si="7"/>
        <v>0</v>
      </c>
      <c r="V41" s="157"/>
      <c r="W41" s="157"/>
      <c r="X41" s="157"/>
      <c r="Y41" s="157"/>
      <c r="Z41" s="157"/>
      <c r="AA41" s="157"/>
      <c r="AB41" s="157"/>
      <c r="AC41" s="157"/>
      <c r="AD41" s="157"/>
      <c r="AE41" s="157" t="s">
        <v>390</v>
      </c>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row>
    <row r="42" spans="1:60" ht="12.75" outlineLevel="1">
      <c r="A42" s="150">
        <v>23</v>
      </c>
      <c r="B42" s="151" t="s">
        <v>411</v>
      </c>
      <c r="C42" s="152" t="s">
        <v>412</v>
      </c>
      <c r="D42" s="153" t="s">
        <v>257</v>
      </c>
      <c r="E42" s="154">
        <v>3</v>
      </c>
      <c r="F42" s="155"/>
      <c r="G42" s="155">
        <f t="shared" si="1"/>
        <v>0</v>
      </c>
      <c r="H42" s="155">
        <v>0.47</v>
      </c>
      <c r="I42" s="155">
        <f t="shared" si="2"/>
        <v>1.41</v>
      </c>
      <c r="J42" s="155">
        <v>60.63</v>
      </c>
      <c r="K42" s="155">
        <f t="shared" si="3"/>
        <v>181.89</v>
      </c>
      <c r="L42" s="155">
        <v>21</v>
      </c>
      <c r="M42" s="155">
        <f t="shared" si="4"/>
        <v>0</v>
      </c>
      <c r="N42" s="155">
        <v>2E-05</v>
      </c>
      <c r="O42" s="155">
        <f t="shared" si="5"/>
        <v>0</v>
      </c>
      <c r="P42" s="155">
        <v>0</v>
      </c>
      <c r="Q42" s="155">
        <f t="shared" si="6"/>
        <v>0</v>
      </c>
      <c r="R42" s="155"/>
      <c r="S42" s="155"/>
      <c r="T42" s="156">
        <v>0.206</v>
      </c>
      <c r="U42" s="155">
        <f t="shared" si="7"/>
        <v>0.62</v>
      </c>
      <c r="V42" s="157"/>
      <c r="W42" s="157"/>
      <c r="X42" s="157"/>
      <c r="Y42" s="157"/>
      <c r="Z42" s="157"/>
      <c r="AA42" s="157"/>
      <c r="AB42" s="157"/>
      <c r="AC42" s="157"/>
      <c r="AD42" s="157"/>
      <c r="AE42" s="157" t="s">
        <v>356</v>
      </c>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row>
    <row r="43" spans="1:60" ht="12.75" outlineLevel="1">
      <c r="A43" s="150">
        <v>24</v>
      </c>
      <c r="B43" s="151" t="s">
        <v>413</v>
      </c>
      <c r="C43" s="152" t="s">
        <v>414</v>
      </c>
      <c r="D43" s="153" t="s">
        <v>257</v>
      </c>
      <c r="E43" s="154">
        <v>2</v>
      </c>
      <c r="F43" s="155"/>
      <c r="G43" s="155">
        <f t="shared" si="1"/>
        <v>0</v>
      </c>
      <c r="H43" s="155">
        <v>902</v>
      </c>
      <c r="I43" s="155">
        <f t="shared" si="2"/>
        <v>1804</v>
      </c>
      <c r="J43" s="155">
        <v>0</v>
      </c>
      <c r="K43" s="155">
        <f t="shared" si="3"/>
        <v>0</v>
      </c>
      <c r="L43" s="155">
        <v>21</v>
      </c>
      <c r="M43" s="155">
        <f t="shared" si="4"/>
        <v>0</v>
      </c>
      <c r="N43" s="155">
        <v>0.00159</v>
      </c>
      <c r="O43" s="155">
        <f t="shared" si="5"/>
        <v>0</v>
      </c>
      <c r="P43" s="155">
        <v>0</v>
      </c>
      <c r="Q43" s="155">
        <f t="shared" si="6"/>
        <v>0</v>
      </c>
      <c r="R43" s="155"/>
      <c r="S43" s="155"/>
      <c r="T43" s="156">
        <v>0</v>
      </c>
      <c r="U43" s="155">
        <f t="shared" si="7"/>
        <v>0</v>
      </c>
      <c r="V43" s="157"/>
      <c r="W43" s="157"/>
      <c r="X43" s="157"/>
      <c r="Y43" s="157"/>
      <c r="Z43" s="157"/>
      <c r="AA43" s="157"/>
      <c r="AB43" s="157"/>
      <c r="AC43" s="157"/>
      <c r="AD43" s="157"/>
      <c r="AE43" s="157" t="s">
        <v>390</v>
      </c>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row>
    <row r="44" spans="1:60" ht="12.75" outlineLevel="1">
      <c r="A44" s="150">
        <v>25</v>
      </c>
      <c r="B44" s="151" t="s">
        <v>415</v>
      </c>
      <c r="C44" s="152" t="s">
        <v>416</v>
      </c>
      <c r="D44" s="153" t="s">
        <v>257</v>
      </c>
      <c r="E44" s="154">
        <v>1</v>
      </c>
      <c r="F44" s="155"/>
      <c r="G44" s="155">
        <f t="shared" si="1"/>
        <v>0</v>
      </c>
      <c r="H44" s="155">
        <v>218.5</v>
      </c>
      <c r="I44" s="155">
        <f t="shared" si="2"/>
        <v>218.5</v>
      </c>
      <c r="J44" s="155">
        <v>0</v>
      </c>
      <c r="K44" s="155">
        <f t="shared" si="3"/>
        <v>0</v>
      </c>
      <c r="L44" s="155">
        <v>21</v>
      </c>
      <c r="M44" s="155">
        <f t="shared" si="4"/>
        <v>0</v>
      </c>
      <c r="N44" s="155">
        <v>0.00121</v>
      </c>
      <c r="O44" s="155">
        <f t="shared" si="5"/>
        <v>0</v>
      </c>
      <c r="P44" s="155">
        <v>0</v>
      </c>
      <c r="Q44" s="155">
        <f t="shared" si="6"/>
        <v>0</v>
      </c>
      <c r="R44" s="155"/>
      <c r="S44" s="155"/>
      <c r="T44" s="156">
        <v>0</v>
      </c>
      <c r="U44" s="155">
        <f t="shared" si="7"/>
        <v>0</v>
      </c>
      <c r="V44" s="157"/>
      <c r="W44" s="157"/>
      <c r="X44" s="157"/>
      <c r="Y44" s="157"/>
      <c r="Z44" s="157"/>
      <c r="AA44" s="157"/>
      <c r="AB44" s="157"/>
      <c r="AC44" s="157"/>
      <c r="AD44" s="157"/>
      <c r="AE44" s="157" t="s">
        <v>390</v>
      </c>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row>
    <row r="45" spans="1:60" ht="12.75" outlineLevel="1">
      <c r="A45" s="150">
        <v>26</v>
      </c>
      <c r="B45" s="151" t="s">
        <v>417</v>
      </c>
      <c r="C45" s="152" t="s">
        <v>418</v>
      </c>
      <c r="D45" s="153" t="s">
        <v>139</v>
      </c>
      <c r="E45" s="154">
        <v>9</v>
      </c>
      <c r="F45" s="155"/>
      <c r="G45" s="155">
        <f t="shared" si="1"/>
        <v>0</v>
      </c>
      <c r="H45" s="155">
        <v>1.42</v>
      </c>
      <c r="I45" s="155">
        <f t="shared" si="2"/>
        <v>12.78</v>
      </c>
      <c r="J45" s="155">
        <v>17.380000000000003</v>
      </c>
      <c r="K45" s="155">
        <f t="shared" si="3"/>
        <v>156.42</v>
      </c>
      <c r="L45" s="155">
        <v>21</v>
      </c>
      <c r="M45" s="155">
        <f t="shared" si="4"/>
        <v>0</v>
      </c>
      <c r="N45" s="155">
        <v>0</v>
      </c>
      <c r="O45" s="155">
        <f t="shared" si="5"/>
        <v>0</v>
      </c>
      <c r="P45" s="155">
        <v>0</v>
      </c>
      <c r="Q45" s="155">
        <f t="shared" si="6"/>
        <v>0</v>
      </c>
      <c r="R45" s="155"/>
      <c r="S45" s="155"/>
      <c r="T45" s="156">
        <v>0.06</v>
      </c>
      <c r="U45" s="155">
        <f t="shared" si="7"/>
        <v>0.54</v>
      </c>
      <c r="V45" s="157"/>
      <c r="W45" s="157"/>
      <c r="X45" s="157"/>
      <c r="Y45" s="157"/>
      <c r="Z45" s="157"/>
      <c r="AA45" s="157"/>
      <c r="AB45" s="157"/>
      <c r="AC45" s="157"/>
      <c r="AD45" s="157"/>
      <c r="AE45" s="157" t="s">
        <v>356</v>
      </c>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row>
    <row r="46" spans="1:60" ht="12.75" outlineLevel="1">
      <c r="A46" s="150"/>
      <c r="B46" s="151"/>
      <c r="C46" s="158" t="s">
        <v>419</v>
      </c>
      <c r="D46" s="159"/>
      <c r="E46" s="160">
        <v>9</v>
      </c>
      <c r="F46" s="155"/>
      <c r="G46" s="155"/>
      <c r="H46" s="155"/>
      <c r="I46" s="155"/>
      <c r="J46" s="155"/>
      <c r="K46" s="155"/>
      <c r="L46" s="155"/>
      <c r="M46" s="155"/>
      <c r="N46" s="155"/>
      <c r="O46" s="155"/>
      <c r="P46" s="155"/>
      <c r="Q46" s="155"/>
      <c r="R46" s="155"/>
      <c r="S46" s="155"/>
      <c r="T46" s="156"/>
      <c r="U46" s="155"/>
      <c r="V46" s="157"/>
      <c r="W46" s="157"/>
      <c r="X46" s="157"/>
      <c r="Y46" s="157"/>
      <c r="Z46" s="157"/>
      <c r="AA46" s="157"/>
      <c r="AB46" s="157"/>
      <c r="AC46" s="157"/>
      <c r="AD46" s="157"/>
      <c r="AE46" s="157" t="s">
        <v>358</v>
      </c>
      <c r="AF46" s="157">
        <v>0</v>
      </c>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row>
    <row r="47" spans="1:60" ht="12.75" outlineLevel="1">
      <c r="A47" s="150">
        <v>27</v>
      </c>
      <c r="B47" s="151" t="s">
        <v>420</v>
      </c>
      <c r="C47" s="152" t="s">
        <v>421</v>
      </c>
      <c r="D47" s="153" t="s">
        <v>257</v>
      </c>
      <c r="E47" s="154">
        <v>1</v>
      </c>
      <c r="F47" s="155"/>
      <c r="G47" s="155">
        <f t="shared" si="1"/>
        <v>0</v>
      </c>
      <c r="H47" s="155">
        <v>921.38</v>
      </c>
      <c r="I47" s="155">
        <f>ROUND(E47*H47,2)</f>
        <v>921.38</v>
      </c>
      <c r="J47" s="155">
        <v>3913.62</v>
      </c>
      <c r="K47" s="155">
        <f>ROUND(E47*J47,2)</f>
        <v>3913.62</v>
      </c>
      <c r="L47" s="155">
        <v>21</v>
      </c>
      <c r="M47" s="155">
        <f>G47*(1+L47/100)</f>
        <v>0</v>
      </c>
      <c r="N47" s="155">
        <v>1.24645</v>
      </c>
      <c r="O47" s="155">
        <f>ROUND(E47*N47,2)</f>
        <v>1.25</v>
      </c>
      <c r="P47" s="155">
        <v>0</v>
      </c>
      <c r="Q47" s="155">
        <f>ROUND(E47*P47,2)</f>
        <v>0</v>
      </c>
      <c r="R47" s="155"/>
      <c r="S47" s="155"/>
      <c r="T47" s="156">
        <v>14.998</v>
      </c>
      <c r="U47" s="155">
        <f>ROUND(E47*T47,2)</f>
        <v>15</v>
      </c>
      <c r="V47" s="157"/>
      <c r="W47" s="157"/>
      <c r="X47" s="157"/>
      <c r="Y47" s="157"/>
      <c r="Z47" s="157"/>
      <c r="AA47" s="157"/>
      <c r="AB47" s="157"/>
      <c r="AC47" s="157"/>
      <c r="AD47" s="157"/>
      <c r="AE47" s="157" t="s">
        <v>372</v>
      </c>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row>
    <row r="48" spans="1:60" ht="12.75" outlineLevel="1">
      <c r="A48" s="150">
        <v>28</v>
      </c>
      <c r="B48" s="151" t="s">
        <v>422</v>
      </c>
      <c r="C48" s="152" t="s">
        <v>423</v>
      </c>
      <c r="D48" s="153" t="s">
        <v>139</v>
      </c>
      <c r="E48" s="154">
        <v>9</v>
      </c>
      <c r="F48" s="155"/>
      <c r="G48" s="155">
        <f t="shared" si="1"/>
        <v>0</v>
      </c>
      <c r="H48" s="155">
        <v>3.41</v>
      </c>
      <c r="I48" s="155">
        <f>ROUND(E48*H48,2)</f>
        <v>30.69</v>
      </c>
      <c r="J48" s="155">
        <v>5.89</v>
      </c>
      <c r="K48" s="155">
        <f>ROUND(E48*J48,2)</f>
        <v>53.01</v>
      </c>
      <c r="L48" s="155">
        <v>21</v>
      </c>
      <c r="M48" s="155">
        <f>G48*(1+L48/100)</f>
        <v>0</v>
      </c>
      <c r="N48" s="155">
        <v>0</v>
      </c>
      <c r="O48" s="155">
        <f>ROUND(E48*N48,2)</f>
        <v>0</v>
      </c>
      <c r="P48" s="155">
        <v>0</v>
      </c>
      <c r="Q48" s="155">
        <f>ROUND(E48*P48,2)</f>
        <v>0</v>
      </c>
      <c r="R48" s="155"/>
      <c r="S48" s="155"/>
      <c r="T48" s="156">
        <v>0.026</v>
      </c>
      <c r="U48" s="155">
        <f>ROUND(E48*T48,2)</f>
        <v>0.23</v>
      </c>
      <c r="V48" s="157"/>
      <c r="W48" s="157"/>
      <c r="X48" s="157"/>
      <c r="Y48" s="157"/>
      <c r="Z48" s="157"/>
      <c r="AA48" s="157"/>
      <c r="AB48" s="157"/>
      <c r="AC48" s="157"/>
      <c r="AD48" s="157"/>
      <c r="AE48" s="157" t="s">
        <v>356</v>
      </c>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row>
    <row r="49" spans="1:60" ht="12.75" outlineLevel="1">
      <c r="A49" s="150"/>
      <c r="B49" s="151"/>
      <c r="C49" s="158" t="s">
        <v>419</v>
      </c>
      <c r="D49" s="159"/>
      <c r="E49" s="160">
        <v>9</v>
      </c>
      <c r="F49" s="155"/>
      <c r="G49" s="155"/>
      <c r="H49" s="155"/>
      <c r="I49" s="155"/>
      <c r="J49" s="155"/>
      <c r="K49" s="155"/>
      <c r="L49" s="155"/>
      <c r="M49" s="155"/>
      <c r="N49" s="155"/>
      <c r="O49" s="155"/>
      <c r="P49" s="155"/>
      <c r="Q49" s="155"/>
      <c r="R49" s="155"/>
      <c r="S49" s="155"/>
      <c r="T49" s="156"/>
      <c r="U49" s="155"/>
      <c r="V49" s="157"/>
      <c r="W49" s="157"/>
      <c r="X49" s="157"/>
      <c r="Y49" s="157"/>
      <c r="Z49" s="157"/>
      <c r="AA49" s="157"/>
      <c r="AB49" s="157"/>
      <c r="AC49" s="157"/>
      <c r="AD49" s="157"/>
      <c r="AE49" s="157" t="s">
        <v>358</v>
      </c>
      <c r="AF49" s="157">
        <v>0</v>
      </c>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row>
    <row r="50" spans="1:60" ht="12.75" outlineLevel="1">
      <c r="A50" s="150">
        <v>29</v>
      </c>
      <c r="B50" s="151" t="s">
        <v>424</v>
      </c>
      <c r="C50" s="152" t="s">
        <v>425</v>
      </c>
      <c r="D50" s="153" t="s">
        <v>257</v>
      </c>
      <c r="E50" s="154">
        <v>1</v>
      </c>
      <c r="F50" s="155"/>
      <c r="G50" s="155">
        <f t="shared" si="1"/>
        <v>0</v>
      </c>
      <c r="H50" s="155">
        <v>1727.82</v>
      </c>
      <c r="I50" s="155">
        <f>ROUND(E50*H50,2)</f>
        <v>1727.82</v>
      </c>
      <c r="J50" s="155">
        <v>160.18000000000006</v>
      </c>
      <c r="K50" s="155">
        <f>ROUND(E50*J50,2)</f>
        <v>160.18</v>
      </c>
      <c r="L50" s="155">
        <v>21</v>
      </c>
      <c r="M50" s="155">
        <f>G50*(1+L50/100)</f>
        <v>0</v>
      </c>
      <c r="N50" s="155">
        <v>0.07643</v>
      </c>
      <c r="O50" s="155">
        <f>ROUND(E50*N50,2)</f>
        <v>0.08</v>
      </c>
      <c r="P50" s="155">
        <v>0</v>
      </c>
      <c r="Q50" s="155">
        <f>ROUND(E50*P50,2)</f>
        <v>0</v>
      </c>
      <c r="R50" s="155"/>
      <c r="S50" s="155"/>
      <c r="T50" s="156">
        <v>0.5</v>
      </c>
      <c r="U50" s="155">
        <f>ROUND(E50*T50,2)</f>
        <v>0.5</v>
      </c>
      <c r="V50" s="157"/>
      <c r="W50" s="157"/>
      <c r="X50" s="157"/>
      <c r="Y50" s="157"/>
      <c r="Z50" s="157"/>
      <c r="AA50" s="157"/>
      <c r="AB50" s="157"/>
      <c r="AC50" s="157"/>
      <c r="AD50" s="157"/>
      <c r="AE50" s="157" t="s">
        <v>356</v>
      </c>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row>
    <row r="51" spans="1:31" ht="12.75">
      <c r="A51" s="161" t="s">
        <v>352</v>
      </c>
      <c r="B51" s="162" t="s">
        <v>426</v>
      </c>
      <c r="C51" s="163" t="s">
        <v>427</v>
      </c>
      <c r="D51" s="164"/>
      <c r="E51" s="165"/>
      <c r="F51" s="166"/>
      <c r="G51" s="166">
        <f>SUMIF(AE52:AE53,"&lt;&gt;NOR",G52:G53)</f>
        <v>0</v>
      </c>
      <c r="H51" s="166"/>
      <c r="I51" s="166">
        <f>SUM(I52:I53)</f>
        <v>0</v>
      </c>
      <c r="J51" s="166"/>
      <c r="K51" s="166">
        <f>SUM(K52:K53)</f>
        <v>447.68000000000006</v>
      </c>
      <c r="L51" s="166"/>
      <c r="M51" s="166">
        <f>SUM(M52:M53)</f>
        <v>0</v>
      </c>
      <c r="N51" s="166"/>
      <c r="O51" s="166">
        <f>SUM(O52:O53)</f>
        <v>0</v>
      </c>
      <c r="P51" s="166"/>
      <c r="Q51" s="166">
        <f>SUM(Q52:Q53)</f>
        <v>0</v>
      </c>
      <c r="R51" s="166"/>
      <c r="S51" s="166"/>
      <c r="T51" s="167"/>
      <c r="U51" s="166">
        <f>SUM(U52:U53)</f>
        <v>2.11</v>
      </c>
      <c r="AE51" s="124" t="s">
        <v>353</v>
      </c>
    </row>
    <row r="52" spans="1:60" ht="12.75" outlineLevel="1">
      <c r="A52" s="150">
        <v>30</v>
      </c>
      <c r="B52" s="151" t="s">
        <v>428</v>
      </c>
      <c r="C52" s="152" t="s">
        <v>429</v>
      </c>
      <c r="D52" s="153" t="s">
        <v>147</v>
      </c>
      <c r="E52" s="154">
        <v>4.4718</v>
      </c>
      <c r="F52" s="155"/>
      <c r="G52" s="155">
        <f>E52*F52</f>
        <v>0</v>
      </c>
      <c r="H52" s="155">
        <v>0</v>
      </c>
      <c r="I52" s="155">
        <f>ROUND(E52*H52,2)</f>
        <v>0</v>
      </c>
      <c r="J52" s="155">
        <v>66.9</v>
      </c>
      <c r="K52" s="155">
        <f>ROUND(E52*J52,2)</f>
        <v>299.16</v>
      </c>
      <c r="L52" s="155">
        <v>21</v>
      </c>
      <c r="M52" s="155">
        <f>G52*(1+L52/100)</f>
        <v>0</v>
      </c>
      <c r="N52" s="155">
        <v>0</v>
      </c>
      <c r="O52" s="155">
        <f>ROUND(E52*N52,2)</f>
        <v>0</v>
      </c>
      <c r="P52" s="155">
        <v>0</v>
      </c>
      <c r="Q52" s="155">
        <f>ROUND(E52*P52,2)</f>
        <v>0</v>
      </c>
      <c r="R52" s="155"/>
      <c r="S52" s="155"/>
      <c r="T52" s="156">
        <v>0.02</v>
      </c>
      <c r="U52" s="155">
        <f>ROUND(E52*T52,2)</f>
        <v>0.09</v>
      </c>
      <c r="V52" s="157"/>
      <c r="W52" s="157"/>
      <c r="X52" s="157"/>
      <c r="Y52" s="157"/>
      <c r="Z52" s="157"/>
      <c r="AA52" s="157"/>
      <c r="AB52" s="157"/>
      <c r="AC52" s="157"/>
      <c r="AD52" s="157"/>
      <c r="AE52" s="157" t="s">
        <v>356</v>
      </c>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row>
    <row r="53" spans="1:60" ht="12.75" outlineLevel="1">
      <c r="A53" s="150">
        <v>31</v>
      </c>
      <c r="B53" s="151" t="s">
        <v>430</v>
      </c>
      <c r="C53" s="152" t="s">
        <v>431</v>
      </c>
      <c r="D53" s="153" t="s">
        <v>147</v>
      </c>
      <c r="E53" s="154">
        <v>1.3626</v>
      </c>
      <c r="F53" s="155"/>
      <c r="G53" s="155">
        <f>E53*F53</f>
        <v>0</v>
      </c>
      <c r="H53" s="155">
        <v>0</v>
      </c>
      <c r="I53" s="155">
        <f>ROUND(E53*H53,2)</f>
        <v>0</v>
      </c>
      <c r="J53" s="155">
        <v>109</v>
      </c>
      <c r="K53" s="155">
        <f>ROUND(E53*J53,2)</f>
        <v>148.52</v>
      </c>
      <c r="L53" s="155">
        <v>21</v>
      </c>
      <c r="M53" s="155">
        <f>G53*(1+L53/100)</f>
        <v>0</v>
      </c>
      <c r="N53" s="155">
        <v>0</v>
      </c>
      <c r="O53" s="155">
        <f>ROUND(E53*N53,2)</f>
        <v>0</v>
      </c>
      <c r="P53" s="155">
        <v>0</v>
      </c>
      <c r="Q53" s="155">
        <f>ROUND(E53*P53,2)</f>
        <v>0</v>
      </c>
      <c r="R53" s="155"/>
      <c r="S53" s="155"/>
      <c r="T53" s="156">
        <v>1.48</v>
      </c>
      <c r="U53" s="155">
        <f>ROUND(E53*T53,2)</f>
        <v>2.02</v>
      </c>
      <c r="V53" s="157"/>
      <c r="W53" s="157"/>
      <c r="X53" s="157"/>
      <c r="Y53" s="157"/>
      <c r="Z53" s="157"/>
      <c r="AA53" s="157"/>
      <c r="AB53" s="157"/>
      <c r="AC53" s="157"/>
      <c r="AD53" s="157"/>
      <c r="AE53" s="157" t="s">
        <v>356</v>
      </c>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row>
    <row r="54" spans="1:30" ht="14.25">
      <c r="A54" s="168"/>
      <c r="B54" s="169"/>
      <c r="C54" s="170" t="s">
        <v>432</v>
      </c>
      <c r="D54" s="171"/>
      <c r="E54" s="172"/>
      <c r="F54" s="172"/>
      <c r="G54" s="173">
        <f>G8+G22+G25+G31+G51</f>
        <v>0</v>
      </c>
      <c r="H54" s="168"/>
      <c r="I54" s="168"/>
      <c r="J54" s="168"/>
      <c r="K54" s="168"/>
      <c r="L54" s="168"/>
      <c r="M54" s="168"/>
      <c r="N54" s="168"/>
      <c r="O54" s="168"/>
      <c r="P54" s="168"/>
      <c r="Q54" s="168"/>
      <c r="R54" s="168"/>
      <c r="S54" s="168"/>
      <c r="T54" s="168"/>
      <c r="U54" s="168"/>
      <c r="AC54" s="124">
        <v>0</v>
      </c>
      <c r="AD54" s="124">
        <v>21</v>
      </c>
    </row>
    <row r="55" spans="3:31" ht="12.75">
      <c r="C55" s="174"/>
      <c r="D55" s="137"/>
      <c r="AE55" s="124" t="s">
        <v>433</v>
      </c>
    </row>
    <row r="56" ht="12.75">
      <c r="D56" s="137"/>
    </row>
    <row r="57" ht="12.75">
      <c r="D57" s="137"/>
    </row>
    <row r="58" ht="12.75">
      <c r="D58" s="137"/>
    </row>
    <row r="59" ht="12.75">
      <c r="D59" s="137"/>
    </row>
    <row r="60" ht="12.75">
      <c r="D60" s="137"/>
    </row>
    <row r="61" ht="12.75">
      <c r="D61" s="137"/>
    </row>
    <row r="62" ht="12.75">
      <c r="D62" s="137"/>
    </row>
    <row r="63" ht="12.75">
      <c r="D63" s="137"/>
    </row>
    <row r="64" ht="12.75">
      <c r="D64" s="137"/>
    </row>
    <row r="65" ht="12.75">
      <c r="D65" s="137"/>
    </row>
    <row r="66" ht="12.75">
      <c r="D66" s="137"/>
    </row>
    <row r="67" ht="12.75">
      <c r="D67" s="137"/>
    </row>
    <row r="68" ht="12.75">
      <c r="D68" s="137"/>
    </row>
    <row r="69" ht="12.75">
      <c r="D69" s="137"/>
    </row>
    <row r="70" ht="12.75">
      <c r="D70" s="137"/>
    </row>
    <row r="71" ht="12.75">
      <c r="D71" s="137"/>
    </row>
    <row r="72" ht="12.75">
      <c r="D72" s="137"/>
    </row>
    <row r="73" ht="12.75">
      <c r="D73" s="137"/>
    </row>
    <row r="74" ht="12.75">
      <c r="D74" s="137"/>
    </row>
    <row r="75" ht="12.75">
      <c r="D75" s="137"/>
    </row>
    <row r="76" ht="12.75">
      <c r="D76" s="137"/>
    </row>
    <row r="77" ht="12.75">
      <c r="D77" s="137"/>
    </row>
    <row r="78" ht="12.75">
      <c r="D78" s="137"/>
    </row>
    <row r="79" ht="12.75">
      <c r="D79" s="137"/>
    </row>
    <row r="80" ht="12.75">
      <c r="D80" s="137"/>
    </row>
    <row r="81" ht="12.75">
      <c r="D81" s="137"/>
    </row>
    <row r="82" ht="12.75">
      <c r="D82" s="137"/>
    </row>
    <row r="83" ht="12.75">
      <c r="D83" s="137"/>
    </row>
    <row r="84" ht="12.75">
      <c r="D84" s="137"/>
    </row>
    <row r="85" ht="12.75">
      <c r="D85" s="137"/>
    </row>
    <row r="86" ht="12.75">
      <c r="D86" s="137"/>
    </row>
    <row r="87" ht="12.75">
      <c r="D87" s="137"/>
    </row>
    <row r="88" ht="12.75">
      <c r="D88" s="137"/>
    </row>
    <row r="89" ht="12.75">
      <c r="D89" s="137"/>
    </row>
    <row r="90" ht="12.75">
      <c r="D90" s="137"/>
    </row>
    <row r="91" ht="12.75">
      <c r="D91" s="137"/>
    </row>
    <row r="92" ht="12.75">
      <c r="D92" s="137"/>
    </row>
    <row r="93" ht="12.75">
      <c r="D93" s="137"/>
    </row>
    <row r="94" ht="12.75">
      <c r="D94" s="137"/>
    </row>
    <row r="95" ht="12.75">
      <c r="D95" s="137"/>
    </row>
    <row r="96" ht="12.75">
      <c r="D96" s="137"/>
    </row>
    <row r="97" ht="12.75">
      <c r="D97" s="137"/>
    </row>
    <row r="98" ht="12.75">
      <c r="D98" s="137"/>
    </row>
    <row r="99" ht="12.75">
      <c r="D99" s="137"/>
    </row>
    <row r="100" ht="12.75">
      <c r="D100" s="137"/>
    </row>
    <row r="101" ht="12.75">
      <c r="D101" s="137"/>
    </row>
    <row r="102" ht="12.75">
      <c r="D102" s="137"/>
    </row>
    <row r="103" ht="12.75">
      <c r="D103" s="137"/>
    </row>
    <row r="104" ht="12.75">
      <c r="D104" s="137"/>
    </row>
    <row r="105" ht="12.75">
      <c r="D105" s="137"/>
    </row>
    <row r="106" ht="12.75">
      <c r="D106" s="137"/>
    </row>
    <row r="107" ht="12.75">
      <c r="D107" s="137"/>
    </row>
    <row r="108" ht="12.75">
      <c r="D108" s="137"/>
    </row>
    <row r="109" ht="12.75">
      <c r="D109" s="137"/>
    </row>
    <row r="110" ht="12.75">
      <c r="D110" s="137"/>
    </row>
    <row r="111" ht="12.75">
      <c r="D111" s="137"/>
    </row>
    <row r="112" ht="12.75">
      <c r="D112" s="137"/>
    </row>
    <row r="113" ht="12.75">
      <c r="D113" s="137"/>
    </row>
    <row r="114" ht="12.75">
      <c r="D114" s="137"/>
    </row>
    <row r="115" ht="12.75">
      <c r="D115" s="137"/>
    </row>
    <row r="116" ht="12.75">
      <c r="D116" s="137"/>
    </row>
    <row r="117" ht="12.75">
      <c r="D117" s="137"/>
    </row>
    <row r="118" ht="12.75">
      <c r="D118" s="137"/>
    </row>
    <row r="119" ht="12.75">
      <c r="D119" s="137"/>
    </row>
    <row r="120" ht="12.75">
      <c r="D120" s="137"/>
    </row>
    <row r="121" ht="12.75">
      <c r="D121" s="137"/>
    </row>
    <row r="122" ht="12.75">
      <c r="D122" s="137"/>
    </row>
    <row r="123" ht="12.75">
      <c r="D123" s="137"/>
    </row>
    <row r="124" ht="12.75">
      <c r="D124" s="137"/>
    </row>
    <row r="125" ht="12.75">
      <c r="D125" s="137"/>
    </row>
    <row r="126" ht="12.75">
      <c r="D126" s="137"/>
    </row>
    <row r="127" ht="12.75">
      <c r="D127" s="137"/>
    </row>
    <row r="128" ht="12.75">
      <c r="D128" s="137"/>
    </row>
    <row r="129" ht="12.75">
      <c r="D129" s="137"/>
    </row>
    <row r="130" ht="12.75">
      <c r="D130" s="137"/>
    </row>
    <row r="131" ht="12.75">
      <c r="D131" s="137"/>
    </row>
    <row r="132" ht="12.75">
      <c r="D132" s="137"/>
    </row>
    <row r="133" ht="12.75">
      <c r="D133" s="137"/>
    </row>
    <row r="134" ht="12.75">
      <c r="D134" s="137"/>
    </row>
    <row r="135" ht="12.75">
      <c r="D135" s="137"/>
    </row>
    <row r="136" ht="12.75">
      <c r="D136" s="137"/>
    </row>
    <row r="137" ht="12.75">
      <c r="D137" s="137"/>
    </row>
    <row r="138" ht="12.75">
      <c r="D138" s="137"/>
    </row>
    <row r="139" ht="12.75">
      <c r="D139" s="137"/>
    </row>
    <row r="140" ht="12.75">
      <c r="D140" s="137"/>
    </row>
    <row r="141" ht="12.75">
      <c r="D141" s="137"/>
    </row>
    <row r="142" ht="12.75">
      <c r="D142" s="137"/>
    </row>
    <row r="143" ht="12.75">
      <c r="D143" s="137"/>
    </row>
    <row r="144" ht="12.75">
      <c r="D144" s="137"/>
    </row>
    <row r="145" ht="12.75">
      <c r="D145" s="137"/>
    </row>
    <row r="146" ht="12.75">
      <c r="D146" s="137"/>
    </row>
    <row r="147" ht="12.75">
      <c r="D147" s="137"/>
    </row>
    <row r="148" ht="12.75">
      <c r="D148" s="137"/>
    </row>
    <row r="149" ht="12.75">
      <c r="D149" s="137"/>
    </row>
    <row r="150" ht="12.75">
      <c r="D150" s="137"/>
    </row>
    <row r="151" ht="12.75">
      <c r="D151" s="137"/>
    </row>
    <row r="152" ht="12.75">
      <c r="D152" s="137"/>
    </row>
    <row r="153" ht="12.75">
      <c r="D153" s="137"/>
    </row>
    <row r="154" ht="12.75">
      <c r="D154" s="137"/>
    </row>
    <row r="155" ht="12.75">
      <c r="D155" s="137"/>
    </row>
    <row r="156" ht="12.75">
      <c r="D156" s="137"/>
    </row>
    <row r="157" ht="12.75">
      <c r="D157" s="137"/>
    </row>
    <row r="158" ht="12.75">
      <c r="D158" s="137"/>
    </row>
    <row r="159" ht="12.75">
      <c r="D159" s="137"/>
    </row>
    <row r="160" ht="12.75">
      <c r="D160" s="137"/>
    </row>
    <row r="161" ht="12.75">
      <c r="D161" s="137"/>
    </row>
    <row r="162" ht="12.75">
      <c r="D162" s="137"/>
    </row>
    <row r="163" ht="12.75">
      <c r="D163" s="137"/>
    </row>
    <row r="164" ht="12.75">
      <c r="D164" s="137"/>
    </row>
    <row r="165" ht="12.75">
      <c r="D165" s="137"/>
    </row>
    <row r="166" ht="12.75">
      <c r="D166" s="137"/>
    </row>
    <row r="167" ht="12.75">
      <c r="D167" s="137"/>
    </row>
    <row r="168" ht="12.75">
      <c r="D168" s="137"/>
    </row>
    <row r="169" ht="12.75">
      <c r="D169" s="137"/>
    </row>
    <row r="170" ht="12.75">
      <c r="D170" s="137"/>
    </row>
    <row r="171" ht="12.75">
      <c r="D171" s="137"/>
    </row>
    <row r="172" ht="12.75">
      <c r="D172" s="137"/>
    </row>
    <row r="173" ht="12.75">
      <c r="D173" s="137"/>
    </row>
    <row r="174" ht="12.75">
      <c r="D174" s="137"/>
    </row>
    <row r="175" ht="12.75">
      <c r="D175" s="137"/>
    </row>
    <row r="176" ht="12.75">
      <c r="D176" s="137"/>
    </row>
    <row r="177" ht="12.75">
      <c r="D177" s="137"/>
    </row>
    <row r="178" ht="12.75">
      <c r="D178" s="137"/>
    </row>
    <row r="179" ht="12.75">
      <c r="D179" s="137"/>
    </row>
    <row r="180" ht="12.75">
      <c r="D180" s="137"/>
    </row>
    <row r="181" ht="12.75">
      <c r="D181" s="137"/>
    </row>
    <row r="182" ht="12.75">
      <c r="D182" s="137"/>
    </row>
    <row r="183" ht="12.75">
      <c r="D183" s="137"/>
    </row>
  </sheetData>
  <mergeCells count="4">
    <mergeCell ref="A1:G1"/>
    <mergeCell ref="C2:G2"/>
    <mergeCell ref="C3:G3"/>
    <mergeCell ref="C4:G4"/>
  </mergeCells>
  <printOptions/>
  <pageMargins left="0.5902777777777778" right="0.39375" top="0.7875" bottom="0.7875" header="0.5118055555555555" footer="0.5118055555555555"/>
  <pageSetup fitToWidth="0" fitToHeight="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Polanka</cp:lastModifiedBy>
  <cp:lastPrinted>2016-08-16T07:43:41Z</cp:lastPrinted>
  <dcterms:created xsi:type="dcterms:W3CDTF">2016-08-15T12:16:41Z</dcterms:created>
  <dcterms:modified xsi:type="dcterms:W3CDTF">2016-08-16T07:49:11Z</dcterms:modified>
  <cp:category/>
  <cp:version/>
  <cp:contentType/>
  <cp:contentStatus/>
  <cp:revision>1</cp:revision>
</cp:coreProperties>
</file>